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3\"/>
    </mc:Choice>
  </mc:AlternateContent>
  <xr:revisionPtr revIDLastSave="0" documentId="8_{FF1A01DB-7453-41E7-A40D-AD7B256C25A5}" xr6:coauthVersionLast="47" xr6:coauthVersionMax="47" xr10:uidLastSave="{00000000-0000-0000-0000-000000000000}"/>
  <bookViews>
    <workbookView xWindow="-28920" yWindow="-120" windowWidth="29040" windowHeight="15840" activeTab="4" xr2:uid="{00000000-000D-0000-FFFF-FFFF00000000}"/>
  </bookViews>
  <sheets>
    <sheet name="functions" sheetId="3" r:id="rId1"/>
    <sheet name="Contract" sheetId="1" r:id="rId2"/>
    <sheet name="Order FG" sheetId="8" r:id="rId3"/>
    <sheet name="User" sheetId="4" r:id="rId4"/>
    <sheet name="Cert" sheetId="5" r:id="rId5"/>
    <sheet name="Order DFS" sheetId="7" r:id="rId6"/>
  </sheets>
  <externalReferences>
    <externalReference r:id="rId7"/>
  </externalReferences>
  <definedNames>
    <definedName name="avtal_Metadataλ" localSheetId="2">_xlfn.LAMBDA(_xlpm.r,_xlfn.LET( _xlpm.from,INDEX(Contract[From],_xlpm.r),_xlpm.length,INDEX(Contract[Length],_xlpm.r),_xlpm.noticePeriod,INDEX(Contract[Notice],_xlpm.r),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avtal_Metadataλ">_xlfn.LAMBDA(_xlpm.r,_xlfn.LET( _xlpm.from,INDEX(Contract[From],_xlpm.r),_xlpm.length,INDEX(Contract[Length],_xlpm.r),_xlpm.noticePeriod,INDEX(Contract[Notice],_xlpm.r),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3" l="1" a="1"/>
  <c r="Q13" i="3" s="1"/>
  <c r="Q12" i="3" a="1"/>
  <c r="Q12" i="3" s="1"/>
  <c r="P5" i="3" l="1" a="1"/>
  <c r="P5" i="3" s="1"/>
  <c r="P4" i="3" a="1"/>
  <c r="P4" i="3" s="1"/>
  <c r="P3" i="3"/>
  <c r="B26" i="8" l="1" a="1"/>
  <c r="B26" i="8" s="1"/>
  <c r="B25" i="8" a="1"/>
  <c r="B25" i="8" s="1"/>
  <c r="B18" i="8" a="1"/>
  <c r="B18" i="8" s="1"/>
  <c r="H4" i="8" a="1"/>
  <c r="H4" i="8" s="1"/>
  <c r="A19" i="8" s="1" a="1"/>
  <c r="A19" i="8" s="1"/>
  <c r="L1" i="8" a="1"/>
  <c r="L1" i="8" s="1"/>
  <c r="B25" i="7" l="1" a="1"/>
  <c r="B25" i="7" s="1"/>
  <c r="B26" i="7" a="1"/>
  <c r="B26" i="7" s="1"/>
  <c r="H4" i="7" a="1"/>
  <c r="H4" i="7" s="1"/>
  <c r="A19" i="7" s="1" a="1"/>
  <c r="A19" i="7" s="1"/>
  <c r="B18" i="7" a="1"/>
  <c r="B18" i="7" s="1"/>
  <c r="Y1" i="7" a="1"/>
  <c r="Y1" i="7" s="1"/>
  <c r="B26" i="4" a="1"/>
  <c r="B26" i="4" s="1"/>
  <c r="B26" i="5" a="1"/>
  <c r="B26" i="5" s="1"/>
  <c r="B25" i="4" a="1"/>
  <c r="B25" i="4" s="1"/>
  <c r="B25" i="5" a="1"/>
  <c r="B25" i="5" s="1"/>
  <c r="Y1" i="5" a="1"/>
  <c r="Y1" i="5" s="1"/>
  <c r="Y1" i="4" a="1"/>
  <c r="Y1" i="4" s="1"/>
  <c r="H4" i="4" a="1"/>
  <c r="H4" i="4" s="1"/>
  <c r="A19" i="4" s="1" a="1"/>
  <c r="A19" i="4" s="1"/>
  <c r="H4" i="5" a="1"/>
  <c r="H4" i="5" s="1"/>
  <c r="A19" i="5" s="1" a="1"/>
  <c r="A19" i="5" s="1"/>
  <c r="B18" i="5" a="1"/>
  <c r="B18" i="5" s="1"/>
  <c r="B18" i="4" a="1"/>
  <c r="B18" i="4" s="1"/>
  <c r="B18" i="1" a="1"/>
  <c r="B18" i="1" s="1"/>
  <c r="Y1" i="1" a="1"/>
  <c r="Y1" i="1" s="1"/>
  <c r="Q4" i="1" l="1" a="1"/>
  <c r="Q4" i="1" s="1"/>
  <c r="P4" i="1" a="1"/>
  <c r="P4" i="1" s="1"/>
  <c r="M4" i="1" a="1"/>
  <c r="M4" i="1" s="1"/>
  <c r="H4" i="1" a="1"/>
  <c r="H4" i="1" s="1"/>
  <c r="A19" i="1" s="1" a="1"/>
  <c r="A19" i="1" s="1"/>
  <c r="O4" i="1" l="1" a="1"/>
  <c r="O4" i="1" s="1"/>
  <c r="N4" i="1" a="1"/>
  <c r="N4" i="1" s="1"/>
  <c r="R4" i="1" a="1"/>
  <c r="R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<sst xmlns="http://schemas.openxmlformats.org/spreadsheetml/2006/main" count="235" uniqueCount="142">
  <si>
    <t>Period</t>
  </si>
  <si>
    <t>Deadline</t>
  </si>
  <si>
    <t>Dagar</t>
  </si>
  <si>
    <t>PowerPage BI Premium</t>
  </si>
  <si>
    <t>What</t>
  </si>
  <si>
    <t>From</t>
  </si>
  <si>
    <t>Length</t>
  </si>
  <si>
    <t>Notice</t>
  </si>
  <si>
    <t>Terminated</t>
  </si>
  <si>
    <t>Months</t>
  </si>
  <si>
    <t>Renewed</t>
  </si>
  <si>
    <t>Need rows</t>
  </si>
  <si>
    <t>Get cells</t>
  </si>
  <si>
    <t>Cells rows</t>
  </si>
  <si>
    <t>Calculate</t>
  </si>
  <si>
    <t>As function</t>
  </si>
  <si>
    <t>PIVOTBY</t>
  </si>
  <si>
    <t>Command</t>
  </si>
  <si>
    <t>Pivot Table</t>
  </si>
  <si>
    <t>UNIQUE()</t>
  </si>
  <si>
    <t>SORT()</t>
  </si>
  <si>
    <t>Sort</t>
  </si>
  <si>
    <t>FILTER()</t>
  </si>
  <si>
    <t>Filter</t>
  </si>
  <si>
    <t>Who/Where</t>
  </si>
  <si>
    <t>Telia +46 70 5500000</t>
  </si>
  <si>
    <t>Telia +46 70 5171717</t>
  </si>
  <si>
    <t>On Prem</t>
  </si>
  <si>
    <t>Microsoft 365</t>
  </si>
  <si>
    <t>days before deadline</t>
  </si>
  <si>
    <t>Active Directory</t>
  </si>
  <si>
    <t>Exchange</t>
  </si>
  <si>
    <t>HR/Human Resources</t>
  </si>
  <si>
    <t>Where</t>
  </si>
  <si>
    <t>Who</t>
  </si>
  <si>
    <t>CISSP</t>
  </si>
  <si>
    <t>Drivers License B</t>
  </si>
  <si>
    <t>Monitor ERP certified</t>
  </si>
  <si>
    <t>Close Combat</t>
  </si>
  <si>
    <t>Lars Bergfaste</t>
  </si>
  <si>
    <t>Linnea Trohgen</t>
  </si>
  <si>
    <t>Malin Trehörning</t>
  </si>
  <si>
    <t>Office Gothenburg</t>
  </si>
  <si>
    <t>Office HQ</t>
  </si>
  <si>
    <t>Server AWS</t>
  </si>
  <si>
    <t>Per-Erik Eriksson</t>
  </si>
  <si>
    <t>Education and Certificates</t>
  </si>
  <si>
    <t>User Accounts and System Access</t>
  </si>
  <si>
    <t>Subscriptions, Licenses and Contracts</t>
  </si>
  <si>
    <t>Automatic by recalculation</t>
  </si>
  <si>
    <t>Function</t>
  </si>
  <si>
    <t>Data: Sort &amp; Filer: Filter</t>
  </si>
  <si>
    <t>Data: Sort &amp; Filer: Sort</t>
  </si>
  <si>
    <t>Data: Data Tools: Remove Duplicates</t>
  </si>
  <si>
    <t>Unique</t>
  </si>
  <si>
    <t>Modern Excel</t>
  </si>
  <si>
    <t>Classic Excel/PDA (Pre Dynamic Arrays)</t>
  </si>
  <si>
    <t>Refresh on Demand</t>
  </si>
  <si>
    <t>Insert: Tables: Pivot Table (PivotTable: Analyse: Refresh)</t>
  </si>
  <si>
    <t>Command Macros</t>
  </si>
  <si>
    <r>
      <rPr>
        <b/>
        <i/>
        <sz val="11"/>
        <color rgb="FF7F7F7F"/>
        <rFont val="Aptos Narrow"/>
        <scheme val="minor"/>
      </rPr>
      <t xml:space="preserve">Not </t>
    </r>
    <r>
      <rPr>
        <i/>
        <sz val="11"/>
        <color rgb="FF7F7F7F"/>
        <rFont val="Aptos Narrow"/>
        <family val="2"/>
        <scheme val="minor"/>
      </rPr>
      <t>Macro Functions aka User Defined Functions/UDF</t>
    </r>
  </si>
  <si>
    <t>Functions vs Commands</t>
  </si>
  <si>
    <t>Who Buys What, WBW</t>
  </si>
  <si>
    <t>2nd Line Support</t>
  </si>
  <si>
    <t>When</t>
  </si>
  <si>
    <t>Order No</t>
  </si>
  <si>
    <t>Frontblade</t>
  </si>
  <si>
    <t>Competence Upgrade</t>
  </si>
  <si>
    <t>ACME Kit</t>
  </si>
  <si>
    <t>Amount</t>
  </si>
  <si>
    <t>PowerPage BI</t>
  </si>
  <si>
    <t>Basix and Beyond</t>
  </si>
  <si>
    <t>Cytrix</t>
  </si>
  <si>
    <t>IR Control</t>
  </si>
  <si>
    <t>Rupelentor</t>
  </si>
  <si>
    <t>DFS-4711</t>
  </si>
  <si>
    <t>DFS-4712</t>
  </si>
  <si>
    <t>DFS-4713</t>
  </si>
  <si>
    <t>DFS-4714</t>
  </si>
  <si>
    <t>DFS-4715</t>
  </si>
  <si>
    <t>DFS-4716</t>
  </si>
  <si>
    <t>Delivery</t>
  </si>
  <si>
    <t>Executive Dashboard</t>
  </si>
  <si>
    <t>Per-Erik Enoksson</t>
  </si>
  <si>
    <t>Drivers License AM,B,BE</t>
  </si>
  <si>
    <t>ID</t>
  </si>
  <si>
    <t>pcs</t>
  </si>
  <si>
    <t>Value</t>
  </si>
  <si>
    <t>Alfa</t>
  </si>
  <si>
    <t>Bravo</t>
  </si>
  <si>
    <t>Charlie</t>
  </si>
  <si>
    <t>Delta</t>
  </si>
  <si>
    <t>Echo</t>
  </si>
  <si>
    <t>Foxtrot</t>
  </si>
  <si>
    <t>Golf</t>
  </si>
  <si>
    <t>Text</t>
  </si>
  <si>
    <t>^8</t>
  </si>
  <si>
    <r>
      <t>Prata Excel med Datafreningen #17</t>
    </r>
    <r>
      <rPr>
        <sz val="11"/>
        <color theme="3"/>
        <rFont val="Aptos Narrow"/>
        <scheme val="minor"/>
      </rPr>
      <t xml:space="preserve">.   </t>
    </r>
    <r>
      <rPr>
        <i/>
        <sz val="11"/>
        <color theme="3"/>
        <rFont val="Aptos Narrow"/>
        <scheme val="minor"/>
      </rPr>
      <t>Avtal.xlsx</t>
    </r>
  </si>
  <si>
    <t>Windows Server</t>
  </si>
  <si>
    <t>Office Rent</t>
  </si>
  <si>
    <t>Gothenburg</t>
  </si>
  <si>
    <t>Microsoft</t>
  </si>
  <si>
    <t>Norrköping Server Hall</t>
  </si>
  <si>
    <t>Cloud/external server</t>
  </si>
  <si>
    <t>Office 2016</t>
  </si>
  <si>
    <t>FG-GOT-4711</t>
  </si>
  <si>
    <t>FG-GOT-4712</t>
  </si>
  <si>
    <t>FG-GOT-4713</t>
  </si>
  <si>
    <t>FG-GOT-4714</t>
  </si>
  <si>
    <t>FG-GOT-4715</t>
  </si>
  <si>
    <t>FG-GOT-4716</t>
  </si>
  <si>
    <t>Quantum Comm</t>
  </si>
  <si>
    <t>Phased Antenna</t>
  </si>
  <si>
    <t>Orbit Predictor</t>
  </si>
  <si>
    <t>Payload Analyzer</t>
  </si>
  <si>
    <t>Cluster Control</t>
  </si>
  <si>
    <t>A01,AI Navigation,Onboard AI Navigation Software,2500000</t>
  </si>
  <si>
    <t>A02,Telemetry Encryption,Secure Telemetry Encryption Suite,1800000</t>
  </si>
  <si>
    <t>A03,Rad-Hard Server,Radiation-Hardened Server Blades,7500000</t>
  </si>
  <si>
    <t>A04,Data Compression,Satellite Data Compression Module,2200000</t>
  </si>
  <si>
    <t>A05,Fault Detection,Autonomous Fault Detection Software,3000000</t>
  </si>
  <si>
    <t>A06,Quantum Comm,Quantum-Resistant Communication Firmware,2700000</t>
  </si>
  <si>
    <t>A07,Phased Antenna,High-Gain Phased Array Antenna,9000000</t>
  </si>
  <si>
    <t>A08,Space SSD,Space-Grade Solid-State Drive (SSD),4000000</t>
  </si>
  <si>
    <t>A09,Thermal Control,Thermal Management Control System,3500000</t>
  </si>
  <si>
    <t>A10,Power Optimizer,Power Optimization Software,2000000</t>
  </si>
  <si>
    <t>A11,Laser Link,Inter-Satellite Laser Communication Module,12000000</t>
  </si>
  <si>
    <t>A12,Flight Computer,Redundant Flight Control Computer,8000000</t>
  </si>
  <si>
    <t>A13,Orbit Predictor,Advanced Orbit Prediction Software,2300000</t>
  </si>
  <si>
    <t>A14,Cooling Unit,Microgravity-Compatible Cooling Unit,5000000</t>
  </si>
  <si>
    <t>A15,Payload Analyzer,Machine Learning Payload Analyzer,2600000</t>
  </si>
  <si>
    <t>A16,Shielded Storage,High-Capacity Radiation Shielded Storage,4500000</t>
  </si>
  <si>
    <t>A17,Cyber Defense,Spaceborne Cybersecurity Intrusion Detection,2800000</t>
  </si>
  <si>
    <t>A18,Cluster Control,Satellite Cluster Coordination Software,3100000</t>
  </si>
  <si>
    <t>A19,Cryo Processor,Cryogenic Data Processing Unit,10000000</t>
  </si>
  <si>
    <t>A20,Ka-Band Transceiver,Long-Distance Ka-Band Transceiver,7000000</t>
  </si>
  <si>
    <t>ID,Short Name,Long Name,Price (EUR)</t>
  </si>
  <si>
    <t>FreeIPA</t>
  </si>
  <si>
    <t>Rupelentium</t>
  </si>
  <si>
    <t>Malin Trehörning (ext)</t>
  </si>
  <si>
    <t>eg, Top3</t>
  </si>
  <si>
    <t>Hotel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</si>
</sst>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83B]yyyy/mm/dd;&quot;##NEG_DATE&quot;;\-;@"/>
    <numFmt numFmtId="165" formatCode="General;\-General;"/>
  </numFmts>
  <fonts count="1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1"/>
      <color rgb="FF7F7F7F"/>
      <name val="Aptos Narrow"/>
      <scheme val="minor"/>
    </font>
    <font>
      <i/>
      <sz val="11"/>
      <color rgb="FF7F7F7F"/>
      <name val="Aptos Narrow"/>
      <scheme val="minor"/>
    </font>
    <font>
      <sz val="11"/>
      <color theme="3"/>
      <name val="Aptos Narrow"/>
      <scheme val="minor"/>
    </font>
    <font>
      <i/>
      <sz val="11"/>
      <color theme="3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2" borderId="3" applyNumberFormat="0" applyAlignment="0" applyProtection="0"/>
    <xf numFmtId="0" fontId="4" fillId="3" borderId="3" applyNumberFormat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4" borderId="4" applyNumberFormat="0" applyFont="0" applyAlignment="0" applyProtection="0"/>
  </cellStyleXfs>
  <cellXfs count="32">
    <xf numFmtId="0" fontId="0" fillId="0" borderId="0" xfId="0"/>
    <xf numFmtId="0" fontId="2" fillId="0" borderId="2" xfId="2"/>
    <xf numFmtId="0" fontId="2" fillId="0" borderId="0" xfId="6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14" fontId="0" fillId="0" borderId="0" xfId="0" applyNumberFormat="1"/>
    <xf numFmtId="0" fontId="5" fillId="0" borderId="0" xfId="5"/>
    <xf numFmtId="0" fontId="1" fillId="0" borderId="1" xfId="1"/>
    <xf numFmtId="164" fontId="0" fillId="0" borderId="0" xfId="0" applyNumberFormat="1"/>
    <xf numFmtId="164" fontId="2" fillId="0" borderId="2" xfId="2" applyNumberFormat="1" applyAlignment="1">
      <alignment horizontal="center"/>
    </xf>
    <xf numFmtId="0" fontId="0" fillId="0" borderId="0" xfId="0" applyAlignment="1">
      <alignment horizontal="centerContinuous"/>
    </xf>
    <xf numFmtId="164" fontId="4" fillId="3" borderId="3" xfId="4" applyNumberFormat="1"/>
    <xf numFmtId="0" fontId="2" fillId="0" borderId="2" xfId="2" applyNumberFormat="1" applyAlignment="1">
      <alignment horizontal="right"/>
    </xf>
    <xf numFmtId="165" fontId="0" fillId="0" borderId="0" xfId="0" applyNumberFormat="1"/>
    <xf numFmtId="165" fontId="2" fillId="0" borderId="2" xfId="2" applyNumberFormat="1" applyAlignment="1">
      <alignment horizontal="center"/>
    </xf>
    <xf numFmtId="165" fontId="3" fillId="2" borderId="3" xfId="3" applyNumberFormat="1"/>
    <xf numFmtId="165" fontId="2" fillId="3" borderId="2" xfId="2" applyNumberFormat="1" applyFill="1"/>
    <xf numFmtId="165" fontId="2" fillId="0" borderId="2" xfId="2" applyNumberFormat="1"/>
    <xf numFmtId="0" fontId="4" fillId="3" borderId="3" xfId="4" applyProtection="1">
      <protection locked="0"/>
    </xf>
    <xf numFmtId="0" fontId="4" fillId="3" borderId="3" xfId="4"/>
    <xf numFmtId="0" fontId="0" fillId="0" borderId="0" xfId="0" applyAlignment="1">
      <alignment horizontal="right" indent="2"/>
    </xf>
    <xf numFmtId="0" fontId="2" fillId="0" borderId="2" xfId="2" applyNumberFormat="1" applyAlignment="1">
      <alignment horizontal="center"/>
    </xf>
    <xf numFmtId="0" fontId="0" fillId="0" borderId="5" xfId="0" applyBorder="1"/>
    <xf numFmtId="164" fontId="0" fillId="0" borderId="5" xfId="0" applyNumberFormat="1" applyBorder="1"/>
    <xf numFmtId="164" fontId="0" fillId="0" borderId="0" xfId="0" applyNumberFormat="1" applyAlignment="1">
      <alignment horizontal="right" indent="2"/>
    </xf>
    <xf numFmtId="164" fontId="2" fillId="0" borderId="2" xfId="2" applyNumberFormat="1" applyAlignment="1">
      <alignment horizontal="right"/>
    </xf>
    <xf numFmtId="164" fontId="2" fillId="0" borderId="2" xfId="2" applyNumberFormat="1" applyAlignment="1"/>
    <xf numFmtId="165" fontId="4" fillId="3" borderId="3" xfId="4" applyNumberFormat="1"/>
    <xf numFmtId="0" fontId="0" fillId="4" borderId="4" xfId="7" applyFont="1"/>
    <xf numFmtId="0" fontId="8" fillId="0" borderId="0" xfId="5" applyFont="1"/>
    <xf numFmtId="0" fontId="0" fillId="0" borderId="0" xfId="0" applyAlignment="1">
      <alignment horizontal="right"/>
    </xf>
    <xf numFmtId="0" fontId="2" fillId="3" borderId="2" xfId="2" applyFill="1"/>
    <xf numFmtId="0" fontId="3" fillId="2" borderId="3" xfId="3"/>
  </cellXfs>
  <cellStyles count="8">
    <cellStyle name="Calculation" xfId="4" builtinId="22"/>
    <cellStyle name="Explanatory Text" xfId="5" builtinId="53"/>
    <cellStyle name="Heading 1" xfId="1" builtinId="16"/>
    <cellStyle name="Heading 3" xfId="2" builtinId="18"/>
    <cellStyle name="Heading 4" xfId="6" builtinId="19"/>
    <cellStyle name="Input" xfId="3" builtinId="20"/>
    <cellStyle name="Normal" xfId="0" builtinId="0"/>
    <cellStyle name="Note" xfId="7" builtinId="10"/>
  </cellStyles>
  <dxfs count="16">
    <dxf>
      <alignment horizontal="right" vertical="bottom" textRotation="0" wrapText="0" indent="0" justifyLastLine="0" shrinkToFit="0" readingOrder="0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  <dxf>
      <numFmt numFmtId="164" formatCode="[$-1083B]yyyy/mm/dd;&quot;##NEG_DATE&quot;;\-;@"/>
    </dxf>
    <dxf>
      <numFmt numFmtId="0" formatCode="General"/>
    </dxf>
    <dxf>
      <numFmt numFmtId="164" formatCode="[$-1083B]yyyy/mm/dd;&quot;##NEG_DATE&quot;;\-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527C0FC-EBF1-42AF-B1B4-3B873BCC7287}" name="Table6" displayName="Table6" ref="K3:N11" totalsRowShown="0" headerRowDxfId="0">
  <autoFilter ref="K3:N11" xr:uid="{F527C0FC-EBF1-42AF-B1B4-3B873BCC7287}"/>
  <sortState xmlns:xlrd2="http://schemas.microsoft.com/office/spreadsheetml/2017/richdata2" ref="K4:N11">
    <sortCondition descending="1" ref="N3:N11"/>
  </sortState>
  <tableColumns count="4">
    <tableColumn id="1" xr3:uid="{EE875586-16FA-47EA-AC06-6A74F29A4DB6}" name="Text"/>
    <tableColumn id="2" xr3:uid="{ABEA5BDC-F373-4EC4-8F30-CAF405037A09}" name="ID"/>
    <tableColumn id="3" xr3:uid="{97730AFD-F72C-4EBD-AE71-D77875F50F21}" name="pcs"/>
    <tableColumn id="4" xr3:uid="{FFDF4328-2F68-430C-BC4F-26B548B938B6}" name="Val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Contract" displayName="Contract" ref="B3:G12" totalsRowShown="0">
  <autoFilter ref="B3:G12" xr:uid="{00000000-0009-0000-0100-000002000000}"/>
  <tableColumns count="6">
    <tableColumn id="1" xr3:uid="{00000000-0010-0000-0000-000001000000}" name="What"/>
    <tableColumn id="2" xr3:uid="{FAA35538-2ED2-4283-AFAC-A0B8A1AA4943}" name="Who/Where"/>
    <tableColumn id="3" xr3:uid="{00000000-0010-0000-0000-000003000000}" name="From" dataDxfId="15"/>
    <tableColumn id="4" xr3:uid="{00000000-0010-0000-0000-000004000000}" name="Length"/>
    <tableColumn id="9" xr3:uid="{00000000-0010-0000-0000-000009000000}" name="Notice" dataDxfId="14"/>
    <tableColumn id="12" xr3:uid="{00000000-0010-0000-0000-00000C000000}" name="Terminated" dataDxfId="13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8A5B32D-58F0-42DE-B57F-3DC61AC1047B}" name="Order_2" displayName="Order_2" ref="B3:G12" totalsRowShown="0">
  <autoFilter ref="B3:G12" xr:uid="{00000000-0009-0000-0100-000002000000}"/>
  <tableColumns count="6">
    <tableColumn id="1" xr3:uid="{000D71D9-DB42-4DAE-B9B0-ECAC6CEEB732}" name="Order No"/>
    <tableColumn id="2" xr3:uid="{AB6635C9-2558-475A-AB8F-41069B495493}" name="What"/>
    <tableColumn id="3" xr3:uid="{23CEAD71-145F-4959-9970-40B970EB425F}" name="When" dataDxfId="12"/>
    <tableColumn id="4" xr3:uid="{A5BBD7AE-1D98-4E5C-90A2-215DC44B484F}" name="Who"/>
    <tableColumn id="9" xr3:uid="{3E58D309-070C-49F3-BACB-40E4D0ECCDC0}" name="Amount" dataDxfId="11"/>
    <tableColumn id="12" xr3:uid="{F652BFB2-8C87-4BB1-B545-B15EF1320CAA}" name="Terminated" dataDxfId="10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D12CFC-C1AC-4AB4-B9F1-43915AB17E0D}" name="User" displayName="User" ref="B3:G12" totalsRowShown="0">
  <autoFilter ref="B3:G12" xr:uid="{00000000-0009-0000-0100-000002000000}"/>
  <tableColumns count="6">
    <tableColumn id="2" xr3:uid="{2BD1B64C-79F6-4A43-9143-1A391A4A8E54}" name="Who"/>
    <tableColumn id="1" xr3:uid="{F60A5766-C422-4471-9266-58C61F036A73}" name="Where"/>
    <tableColumn id="3" xr3:uid="{A83CA12B-2C42-443E-9449-53CA5D84B474}" name="From" dataDxfId="9"/>
    <tableColumn id="4" xr3:uid="{9455F53C-6655-408A-9391-5C5157AB51DC}" name="Length"/>
    <tableColumn id="9" xr3:uid="{8581ECF1-DFBF-491C-9247-65468CDEE424}" name="Notice" dataDxfId="8"/>
    <tableColumn id="12" xr3:uid="{F1D2B362-4A45-4994-9C41-4CBE7387ECB3}" name="Terminated" dataDxfId="7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A431FD5-EA1E-489D-B5A4-B399ADCEEB89}" name="Cert" displayName="Cert" ref="B3:G12" totalsRowShown="0">
  <autoFilter ref="B3:G12" xr:uid="{00000000-0009-0000-0100-000002000000}"/>
  <sortState xmlns:xlrd2="http://schemas.microsoft.com/office/spreadsheetml/2017/richdata2" ref="B4:G12">
    <sortCondition ref="B3:B12"/>
  </sortState>
  <tableColumns count="6">
    <tableColumn id="1" xr3:uid="{069D9D2D-D049-4AB9-AA55-7E00C7677806}" name="What"/>
    <tableColumn id="2" xr3:uid="{846EB308-102A-4A36-9136-E101C1B3EECD}" name="Who"/>
    <tableColumn id="3" xr3:uid="{6971341E-3F20-4719-9BEE-27739CCF9046}" name="From" dataDxfId="6"/>
    <tableColumn id="4" xr3:uid="{897E349F-7779-41FA-9837-95DF440D5FD4}" name="Length"/>
    <tableColumn id="9" xr3:uid="{03F91F2A-B25D-4703-96DF-0830922B45C3}" name="Notice" dataDxfId="5"/>
    <tableColumn id="12" xr3:uid="{0AA5ECE2-C5A5-4722-A68A-B981FB4E3A92}" name="Terminated" dataDxfId="4"/>
  </tableColumns>
  <tableStyleInfo name="TableStyleLight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D047AB-9AB2-4394-9919-71105C0BA2AC}" name="Order" displayName="Order" ref="B3:G12" totalsRowShown="0">
  <autoFilter ref="B3:G12" xr:uid="{00000000-0009-0000-0100-000002000000}"/>
  <tableColumns count="6">
    <tableColumn id="1" xr3:uid="{71D61954-F0C6-44AD-BEA9-44CB18905E8F}" name="Order No"/>
    <tableColumn id="2" xr3:uid="{33B3A9CC-B8EF-49F5-B3C1-FC807ACAE2FB}" name="What"/>
    <tableColumn id="3" xr3:uid="{9E4EFB40-F4DD-4058-A144-F351C43A74F2}" name="When" dataDxfId="3"/>
    <tableColumn id="4" xr3:uid="{2EE6E29F-71AC-41AB-9DD1-8E81EEED9AB7}" name="Who"/>
    <tableColumn id="9" xr3:uid="{61395A23-568D-4C7D-A00B-10ED08A4E553}" name="Amount" dataDxfId="2"/>
    <tableColumn id="12" xr3:uid="{5579AEBA-0390-4DBB-845F-BBD24036D14E}" name="Terminated" dataDxfId="1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5C7EF-5A7A-4813-9DAB-4F0D6C8FC740}">
  <sheetPr>
    <tabColor theme="9"/>
  </sheetPr>
  <dimension ref="A1:U15"/>
  <sheetViews>
    <sheetView workbookViewId="0">
      <selection activeCell="H6" sqref="H6"/>
    </sheetView>
  </sheetViews>
  <sheetFormatPr defaultRowHeight="14"/>
  <cols>
    <col min="1" max="1" width="15" style="2" bestFit="1" customWidth="1"/>
    <col min="2" max="2" width="4.1640625" customWidth="1"/>
    <col min="7" max="7" width="12.9140625" customWidth="1"/>
  </cols>
  <sheetData>
    <row r="1" spans="1:21" ht="19.5" thickBot="1">
      <c r="A1" s="6" t="s">
        <v>61</v>
      </c>
      <c r="J1" s="1" t="s">
        <v>140</v>
      </c>
    </row>
    <row r="2" spans="1:21" ht="14.5" thickTop="1"/>
    <row r="3" spans="1:21" ht="14.5">
      <c r="K3" t="s">
        <v>95</v>
      </c>
      <c r="L3" s="29" t="s">
        <v>85</v>
      </c>
      <c r="M3" s="29" t="s">
        <v>86</v>
      </c>
      <c r="N3" s="29" t="s">
        <v>87</v>
      </c>
      <c r="P3" s="5" t="str">
        <f ca="1">_xlfn.FORMULATEXT(P5)</f>
        <v>=TAKE(SORT(DROP(K.:.N;1);4;-1);3)</v>
      </c>
    </row>
    <row r="4" spans="1:21" ht="14.5" thickBot="1">
      <c r="C4" s="2" t="s">
        <v>56</v>
      </c>
      <c r="H4" s="2" t="s">
        <v>55</v>
      </c>
      <c r="K4" t="s">
        <v>88</v>
      </c>
      <c r="L4">
        <v>1001</v>
      </c>
      <c r="M4">
        <v>42</v>
      </c>
      <c r="N4">
        <v>517</v>
      </c>
      <c r="P4" s="30" t="str" cm="1">
        <f t="array" ref="P4:S4">K3:N3</f>
        <v>Text</v>
      </c>
      <c r="Q4" s="1" t="str">
        <v>ID</v>
      </c>
      <c r="R4" s="1" t="str">
        <v>pcs</v>
      </c>
      <c r="S4" s="1" t="str">
        <v>Value</v>
      </c>
    </row>
    <row r="5" spans="1:21">
      <c r="A5"/>
      <c r="K5" t="s">
        <v>90</v>
      </c>
      <c r="L5">
        <v>1003</v>
      </c>
      <c r="M5">
        <v>42</v>
      </c>
      <c r="N5">
        <v>462</v>
      </c>
      <c r="P5" s="18" t="str" cm="1">
        <f t="array" ref="P5:S7">_xlfn.TAKE(_xlfn._xlws.SORT(_xlfn.DROP(_xlfn._TRO_ALL(K:N),1),4,-1),3)</f>
        <v>Alfa</v>
      </c>
      <c r="Q5">
        <v>1001</v>
      </c>
      <c r="R5">
        <v>42</v>
      </c>
      <c r="S5">
        <v>517</v>
      </c>
    </row>
    <row r="6" spans="1:21" ht="14.5" thickBot="1">
      <c r="C6" s="1" t="s">
        <v>17</v>
      </c>
      <c r="H6" s="1" t="s">
        <v>50</v>
      </c>
      <c r="K6" t="s">
        <v>92</v>
      </c>
      <c r="L6">
        <v>1005</v>
      </c>
      <c r="M6">
        <v>22</v>
      </c>
      <c r="N6">
        <v>311</v>
      </c>
      <c r="P6" t="str">
        <v>Charlie</v>
      </c>
      <c r="Q6">
        <v>1003</v>
      </c>
      <c r="R6">
        <v>42</v>
      </c>
      <c r="S6">
        <v>462</v>
      </c>
    </row>
    <row r="7" spans="1:21">
      <c r="C7" s="27" t="s">
        <v>57</v>
      </c>
      <c r="H7" s="27" t="s">
        <v>49</v>
      </c>
      <c r="K7" t="s">
        <v>94</v>
      </c>
      <c r="L7">
        <v>1007</v>
      </c>
      <c r="M7">
        <v>47</v>
      </c>
      <c r="N7">
        <v>211</v>
      </c>
      <c r="P7" t="str">
        <v>Echo</v>
      </c>
      <c r="Q7">
        <v>1005</v>
      </c>
      <c r="R7">
        <v>22</v>
      </c>
      <c r="S7">
        <v>311</v>
      </c>
    </row>
    <row r="8" spans="1:21">
      <c r="A8" s="2" t="s">
        <v>23</v>
      </c>
      <c r="C8" t="s">
        <v>51</v>
      </c>
      <c r="H8" t="s">
        <v>22</v>
      </c>
      <c r="K8" t="s">
        <v>91</v>
      </c>
      <c r="L8">
        <v>1004</v>
      </c>
      <c r="M8">
        <v>19</v>
      </c>
      <c r="N8">
        <v>209</v>
      </c>
    </row>
    <row r="9" spans="1:21">
      <c r="A9" s="2" t="s">
        <v>21</v>
      </c>
      <c r="C9" t="s">
        <v>52</v>
      </c>
      <c r="H9" t="s">
        <v>20</v>
      </c>
      <c r="K9" t="s">
        <v>141</v>
      </c>
      <c r="L9">
        <v>1008</v>
      </c>
      <c r="M9">
        <v>2</v>
      </c>
      <c r="N9">
        <v>150</v>
      </c>
      <c r="U9" s="31">
        <v>3</v>
      </c>
    </row>
    <row r="10" spans="1:21">
      <c r="A10" s="2" t="s">
        <v>54</v>
      </c>
      <c r="C10" t="s">
        <v>53</v>
      </c>
      <c r="H10" t="s">
        <v>19</v>
      </c>
      <c r="K10" t="s">
        <v>89</v>
      </c>
      <c r="L10">
        <v>1002</v>
      </c>
      <c r="M10">
        <v>11</v>
      </c>
      <c r="N10">
        <v>121</v>
      </c>
    </row>
    <row r="11" spans="1:21">
      <c r="A11" s="2" t="s">
        <v>18</v>
      </c>
      <c r="C11" t="s">
        <v>58</v>
      </c>
      <c r="H11" t="s">
        <v>16</v>
      </c>
      <c r="K11" t="s">
        <v>93</v>
      </c>
      <c r="L11">
        <v>1006</v>
      </c>
      <c r="M11">
        <v>79</v>
      </c>
      <c r="N11">
        <v>109</v>
      </c>
    </row>
    <row r="12" spans="1:21">
      <c r="Q12" s="18" t="str" cm="1">
        <f t="array" ref="Q12:T12">K3:N3</f>
        <v>Text</v>
      </c>
      <c r="R12" t="str">
        <v>ID</v>
      </c>
      <c r="S12" t="str">
        <v>pcs</v>
      </c>
      <c r="T12" t="str">
        <v>Value</v>
      </c>
    </row>
    <row r="13" spans="1:21">
      <c r="Q13" s="18" t="str" cm="1">
        <f t="array" ref="Q13:T15">_xlfn.TAKE(_xlfn._xlws.SORT(_xlfn.DROP(_xlfn._TRO_ALL(K:N),1),4,-1),U9)</f>
        <v>Alfa</v>
      </c>
      <c r="R13">
        <v>1001</v>
      </c>
      <c r="S13">
        <v>42</v>
      </c>
      <c r="T13">
        <v>517</v>
      </c>
    </row>
    <row r="14" spans="1:21" ht="14.5">
      <c r="C14" s="5" t="s">
        <v>59</v>
      </c>
      <c r="Q14" t="str">
        <v>Charlie</v>
      </c>
      <c r="R14">
        <v>1003</v>
      </c>
      <c r="S14">
        <v>42</v>
      </c>
      <c r="T14">
        <v>462</v>
      </c>
    </row>
    <row r="15" spans="1:21" ht="14.5">
      <c r="C15" s="28" t="s">
        <v>60</v>
      </c>
      <c r="Q15" t="str">
        <v>Echo</v>
      </c>
      <c r="R15">
        <v>1005</v>
      </c>
      <c r="S15">
        <v>22</v>
      </c>
      <c r="T15">
        <v>311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A1:Z22"/>
  <sheetViews>
    <sheetView workbookViewId="0">
      <pane ySplit="3" topLeftCell="A9" activePane="bottomLeft" state="frozen"/>
      <selection activeCell="A16" sqref="A16"/>
      <selection pane="bottomLeft" activeCell="A16" sqref="A16"/>
    </sheetView>
  </sheetViews>
  <sheetFormatPr defaultRowHeight="14.5" outlineLevelRow="1" outlineLevelCol="1"/>
  <cols>
    <col min="1" max="1" width="6.5" bestFit="1" customWidth="1"/>
    <col min="2" max="3" width="20.08203125" customWidth="1"/>
    <col min="4" max="4" width="12.1640625" style="7" customWidth="1"/>
    <col min="5" max="5" width="8.9140625" customWidth="1"/>
    <col min="6" max="6" width="13.33203125" customWidth="1"/>
    <col min="7" max="7" width="12.1640625" style="7" customWidth="1"/>
    <col min="8" max="9" width="11.08203125" style="7" customWidth="1"/>
    <col min="10" max="10" width="9.33203125" customWidth="1"/>
    <col min="12" max="16" width="8.83203125" customWidth="1" outlineLevel="1"/>
    <col min="17" max="18" width="12.1640625" style="7" customWidth="1" outlineLevel="1"/>
    <col min="19" max="19" width="10.33203125" customWidth="1" outlineLevel="1"/>
    <col min="20" max="24" width="8.83203125" customWidth="1" outlineLevel="1"/>
    <col min="25" max="25" width="8.83203125" style="5" customWidth="1" outlineLevel="1"/>
    <col min="26" max="26" width="8.83203125"/>
  </cols>
  <sheetData>
    <row r="1" spans="1:26" ht="19.5" thickBot="1">
      <c r="A1" s="6" t="s">
        <v>48</v>
      </c>
      <c r="B1" s="4"/>
      <c r="C1" s="4"/>
      <c r="M1" s="1" t="s">
        <v>97</v>
      </c>
      <c r="Y1" s="5" t="str" cm="1">
        <f t="array" ref="Y1:Y3">{"5 mar 2024";"bo.sinander@powerpage.se";".ıI PowerPage"}</f>
        <v>5 mar 2024</v>
      </c>
      <c r="Z1" s="5" t="s">
        <v>96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4</v>
      </c>
      <c r="C3" t="s">
        <v>24</v>
      </c>
      <c r="D3" s="23" t="s">
        <v>5</v>
      </c>
      <c r="E3" t="s">
        <v>6</v>
      </c>
      <c r="F3" s="19" t="s">
        <v>7</v>
      </c>
      <c r="G3" s="7" t="s">
        <v>8</v>
      </c>
      <c r="H3" s="8" t="s">
        <v>1</v>
      </c>
      <c r="I3" s="8" t="s">
        <v>10</v>
      </c>
      <c r="J3" s="11" t="s">
        <v>0</v>
      </c>
      <c r="M3" s="5" t="s">
        <v>11</v>
      </c>
      <c r="N3" s="5" t="s">
        <v>12</v>
      </c>
      <c r="O3" s="5" t="s">
        <v>13</v>
      </c>
      <c r="P3" s="5" t="s">
        <v>14</v>
      </c>
      <c r="Q3" s="5" t="s">
        <v>15</v>
      </c>
      <c r="R3" s="8" t="s">
        <v>1</v>
      </c>
      <c r="S3" s="8" t="s">
        <v>10</v>
      </c>
      <c r="T3" s="11" t="s">
        <v>0</v>
      </c>
      <c r="Y3" s="5" t="str">
        <v>.ıI PowerPage</v>
      </c>
      <c r="Z3" s="5"/>
    </row>
    <row r="4" spans="1:26">
      <c r="B4" t="s">
        <v>98</v>
      </c>
      <c r="C4" t="s">
        <v>101</v>
      </c>
      <c r="D4" s="7">
        <v>43339</v>
      </c>
      <c r="E4">
        <v>12</v>
      </c>
      <c r="F4">
        <v>9</v>
      </c>
      <c r="H4" s="10" cm="1">
        <f t="array" aca="1" ref="H4:J12" ca="1">avtal_Metadataλ(_xlfn.SEQUENCE(ROWS(Contract[])))</f>
        <v>45987</v>
      </c>
      <c r="I4" s="7">
        <f ca="1"/>
        <v>46261</v>
      </c>
      <c r="J4">
        <f ca="1"/>
        <v>8</v>
      </c>
      <c r="M4" s="18" cm="1">
        <f t="array" ref="M4:M11" xml:space="preserve">
_xlfn.LAMBDA(_xlpm.r,
_xlpm.r
)({1;2;3;4;5;6;7;8})</f>
        <v>1</v>
      </c>
      <c r="N4" s="18" cm="1">
        <f t="array" ref="N4:N12">_xlfn.BYROW(Contract[From],
_xlfn.LAMBDA(_xlpm.rowCell,
_xlpm.rowCell
))</f>
        <v>43339</v>
      </c>
      <c r="O4" s="18" cm="1">
        <f t="array" ref="O4:O12">_xlfn.BYROW(Contract[From],
_xlfn.LAMBDA(_xlpm.rowCell,
_xlfn.LET(
_xlpm.r,ROW(_xlpm.rowCell)-ROW(Contract[#Headers]),
_xlpm.r
)))</f>
        <v>1</v>
      </c>
      <c r="P4" s="18" cm="1">
        <f t="array" aca="1" ref="P4:P12" ca="1">_xlfn.BYROW(Contract[From],
_xlfn.LAMBDA(_xlpm.rowCell,
_xlfn.LET(
_xlpm.r,ROW(_xlpm.rowCell)-ROW(Contract[#Headers]),
_xlpm.from,INDEX(Contract[From],_xlpm.r),_xlpm.length,INDEX(Contract[Length],_xlpm.r),_xlpm.noticePeriod,INDEX(Contract[Notice],_xlpm.r),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_xlpm.r
)))</f>
        <v>1</v>
      </c>
      <c r="Q4" s="18" cm="1">
        <f t="array" aca="1" ref="Q4:Q12" ca="1" xml:space="preserve">
_xlfn.LAMBDA(_xlpm.r,
_xlfn.LET(
_xlpm.from,INDEX(Contract[From],_xlpm.r),_xlpm.length,INDEX(Contract[Length],_xlpm.r),_xlpm.noticePeriod,INDEX(Contract[Notice],_xlpm.r),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_xlpm.r
))(_xlfn.SEQUENCE(ROWS(Contract[#Data])))</f>
        <v>1</v>
      </c>
      <c r="R4" s="10" cm="1">
        <f t="array" aca="1" ref="R4:T12" ca="1" xml:space="preserve">
_xlfn.LAMBDA(_xlpm.r,
_xlfn.LET(
_xlpm.from,INDEX(Contract[From],_xlpm.r),_xlpm.length,INDEX(Contract[Length],_xlpm.r),_xlpm.noticePeriod,INDEX(Contract[Notice],_xlpm.r),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_xlpm.output
))(_xlfn.SEQUENCE(ROWS(Contract[#Data])))</f>
        <v>45987</v>
      </c>
      <c r="S4" s="7">
        <f ca="1"/>
        <v>46261</v>
      </c>
      <c r="T4">
        <f ca="1"/>
        <v>8</v>
      </c>
    </row>
    <row r="5" spans="1:26">
      <c r="B5" t="s">
        <v>99</v>
      </c>
      <c r="C5" t="s">
        <v>100</v>
      </c>
      <c r="D5" s="7">
        <v>43339</v>
      </c>
      <c r="E5">
        <v>60</v>
      </c>
      <c r="F5">
        <v>15</v>
      </c>
      <c r="H5" s="7">
        <f ca="1"/>
        <v>46533</v>
      </c>
      <c r="I5" s="7">
        <f ca="1"/>
        <v>46992</v>
      </c>
      <c r="J5">
        <f ca="1"/>
        <v>2</v>
      </c>
      <c r="M5">
        <v>2</v>
      </c>
      <c r="N5">
        <v>43339</v>
      </c>
      <c r="O5">
        <v>2</v>
      </c>
      <c r="P5">
        <f ca="1"/>
        <v>2</v>
      </c>
      <c r="Q5">
        <f ca="1"/>
        <v>2</v>
      </c>
      <c r="R5" s="7">
        <f ca="1"/>
        <v>46533</v>
      </c>
      <c r="S5" s="7">
        <f ca="1"/>
        <v>46992</v>
      </c>
      <c r="T5">
        <f ca="1"/>
        <v>2</v>
      </c>
    </row>
    <row r="6" spans="1:26">
      <c r="B6" t="s">
        <v>137</v>
      </c>
      <c r="C6" t="s">
        <v>102</v>
      </c>
      <c r="D6" s="7">
        <v>45325</v>
      </c>
      <c r="E6">
        <v>3</v>
      </c>
      <c r="F6">
        <v>0</v>
      </c>
      <c r="H6" s="7">
        <f ca="1"/>
        <v>45963</v>
      </c>
      <c r="I6" s="7">
        <f ca="1"/>
        <v>45964</v>
      </c>
      <c r="J6">
        <f ca="1"/>
        <v>7</v>
      </c>
      <c r="M6">
        <v>3</v>
      </c>
      <c r="N6">
        <v>45325</v>
      </c>
      <c r="O6">
        <v>3</v>
      </c>
      <c r="P6">
        <f ca="1"/>
        <v>3</v>
      </c>
      <c r="Q6">
        <f ca="1"/>
        <v>3</v>
      </c>
      <c r="R6" s="7">
        <f ca="1"/>
        <v>45963</v>
      </c>
      <c r="S6" s="7">
        <f ca="1"/>
        <v>45964</v>
      </c>
      <c r="T6">
        <f ca="1"/>
        <v>7</v>
      </c>
    </row>
    <row r="7" spans="1:26">
      <c r="B7" t="s">
        <v>28</v>
      </c>
      <c r="C7" t="s">
        <v>103</v>
      </c>
      <c r="D7" s="7">
        <v>45903</v>
      </c>
      <c r="E7">
        <v>12</v>
      </c>
      <c r="F7">
        <v>3</v>
      </c>
      <c r="H7" s="7">
        <f ca="1"/>
        <v>46175</v>
      </c>
      <c r="I7" s="7">
        <f ca="1"/>
        <v>46268</v>
      </c>
      <c r="J7">
        <f ca="1"/>
        <v>1</v>
      </c>
      <c r="M7">
        <v>4</v>
      </c>
      <c r="N7">
        <v>45903</v>
      </c>
      <c r="O7">
        <v>4</v>
      </c>
      <c r="P7">
        <f ca="1"/>
        <v>4</v>
      </c>
      <c r="Q7">
        <f ca="1"/>
        <v>4</v>
      </c>
      <c r="R7" s="7">
        <f ca="1"/>
        <v>46175</v>
      </c>
      <c r="S7" s="7">
        <f ca="1"/>
        <v>46268</v>
      </c>
      <c r="T7">
        <f ca="1"/>
        <v>1</v>
      </c>
    </row>
    <row r="8" spans="1:26">
      <c r="B8" t="s">
        <v>104</v>
      </c>
      <c r="C8" t="s">
        <v>27</v>
      </c>
      <c r="D8" s="7">
        <v>43169</v>
      </c>
      <c r="E8">
        <v>120</v>
      </c>
      <c r="F8">
        <v>9</v>
      </c>
      <c r="H8" s="7">
        <f ca="1"/>
        <v>46547</v>
      </c>
      <c r="I8" s="7">
        <f ca="1"/>
        <v>46822</v>
      </c>
      <c r="J8">
        <f ca="1"/>
        <v>1</v>
      </c>
      <c r="M8">
        <v>5</v>
      </c>
      <c r="N8">
        <v>43169</v>
      </c>
      <c r="O8">
        <v>5</v>
      </c>
      <c r="P8">
        <f ca="1"/>
        <v>5</v>
      </c>
      <c r="Q8">
        <f ca="1"/>
        <v>5</v>
      </c>
      <c r="R8" s="7">
        <f ca="1"/>
        <v>46547</v>
      </c>
      <c r="S8" s="7">
        <f ca="1"/>
        <v>46822</v>
      </c>
      <c r="T8">
        <f ca="1"/>
        <v>1</v>
      </c>
    </row>
    <row r="9" spans="1:26">
      <c r="B9" t="s">
        <v>26</v>
      </c>
      <c r="C9" t="s">
        <v>42</v>
      </c>
      <c r="D9" s="7">
        <v>34659</v>
      </c>
      <c r="E9">
        <v>12</v>
      </c>
      <c r="F9">
        <v>1</v>
      </c>
      <c r="H9" s="7">
        <f ca="1"/>
        <v>45950</v>
      </c>
      <c r="I9" s="7">
        <f ca="1"/>
        <v>45982</v>
      </c>
      <c r="J9">
        <f ca="1"/>
        <v>31</v>
      </c>
      <c r="M9">
        <v>6</v>
      </c>
      <c r="N9">
        <v>34659</v>
      </c>
      <c r="O9">
        <v>6</v>
      </c>
      <c r="P9">
        <f ca="1"/>
        <v>6</v>
      </c>
      <c r="Q9">
        <f ca="1"/>
        <v>6</v>
      </c>
      <c r="R9" s="7">
        <f ca="1"/>
        <v>45950</v>
      </c>
      <c r="S9" s="7">
        <f ca="1"/>
        <v>45982</v>
      </c>
      <c r="T9">
        <f ca="1"/>
        <v>31</v>
      </c>
    </row>
    <row r="10" spans="1:26">
      <c r="B10" t="s">
        <v>25</v>
      </c>
      <c r="C10" t="s">
        <v>43</v>
      </c>
      <c r="D10" s="7">
        <v>44681</v>
      </c>
      <c r="E10">
        <v>24</v>
      </c>
      <c r="F10">
        <v>1</v>
      </c>
      <c r="H10" s="7">
        <f ca="1"/>
        <v>46110</v>
      </c>
      <c r="I10" s="7">
        <f ca="1"/>
        <v>46142</v>
      </c>
      <c r="J10">
        <f ca="1"/>
        <v>2</v>
      </c>
      <c r="M10">
        <v>7</v>
      </c>
      <c r="N10">
        <v>44681</v>
      </c>
      <c r="O10">
        <v>7</v>
      </c>
      <c r="P10">
        <f ca="1"/>
        <v>7</v>
      </c>
      <c r="Q10">
        <f ca="1"/>
        <v>7</v>
      </c>
      <c r="R10" s="7">
        <f ca="1"/>
        <v>46110</v>
      </c>
      <c r="S10" s="7">
        <f ca="1"/>
        <v>46142</v>
      </c>
      <c r="T10">
        <f ca="1"/>
        <v>2</v>
      </c>
    </row>
    <row r="11" spans="1:26">
      <c r="B11" t="s">
        <v>3</v>
      </c>
      <c r="C11" t="s">
        <v>44</v>
      </c>
      <c r="D11" s="7">
        <v>45028</v>
      </c>
      <c r="E11">
        <v>1</v>
      </c>
      <c r="F11">
        <v>1</v>
      </c>
      <c r="H11" s="7">
        <f ca="1"/>
        <v>45941</v>
      </c>
      <c r="I11" s="7">
        <f ca="1"/>
        <v>45942</v>
      </c>
      <c r="J11">
        <f ca="1"/>
        <v>30</v>
      </c>
      <c r="M11">
        <v>8</v>
      </c>
      <c r="N11">
        <v>45028</v>
      </c>
      <c r="O11">
        <v>8</v>
      </c>
      <c r="P11">
        <f ca="1"/>
        <v>8</v>
      </c>
      <c r="Q11">
        <f ca="1"/>
        <v>8</v>
      </c>
      <c r="R11" s="7">
        <f ca="1"/>
        <v>45941</v>
      </c>
      <c r="S11" s="7">
        <f ca="1"/>
        <v>45942</v>
      </c>
      <c r="T11">
        <f ca="1"/>
        <v>30</v>
      </c>
    </row>
    <row r="12" spans="1:26">
      <c r="B12" t="s">
        <v>73</v>
      </c>
      <c r="C12" t="s">
        <v>27</v>
      </c>
      <c r="D12" s="7">
        <v>45261</v>
      </c>
      <c r="E12">
        <v>36</v>
      </c>
      <c r="F12">
        <v>6</v>
      </c>
      <c r="H12" s="7">
        <f ca="1"/>
        <v>46173</v>
      </c>
      <c r="I12" s="7">
        <f ca="1"/>
        <v>46357</v>
      </c>
      <c r="J12">
        <f ca="1"/>
        <v>1</v>
      </c>
      <c r="N12">
        <v>45261</v>
      </c>
      <c r="O12">
        <v>9</v>
      </c>
      <c r="P12">
        <f ca="1"/>
        <v>9</v>
      </c>
      <c r="Q12">
        <f ca="1"/>
        <v>9</v>
      </c>
      <c r="R12" s="7">
        <f ca="1"/>
        <v>46173</v>
      </c>
      <c r="S12" s="7">
        <f ca="1"/>
        <v>46357</v>
      </c>
      <c r="T12">
        <f ca="1"/>
        <v>1</v>
      </c>
    </row>
    <row r="13" spans="1:26">
      <c r="Q13"/>
      <c r="S13" s="7"/>
    </row>
    <row r="14" spans="1:26" ht="15" outlineLevel="1" thickBot="1">
      <c r="A14" s="21"/>
      <c r="B14" s="21"/>
      <c r="C14" s="21"/>
      <c r="D14" s="22"/>
      <c r="E14" s="21"/>
      <c r="F14" s="21"/>
      <c r="G14" s="22"/>
      <c r="H14" s="22"/>
      <c r="I14" s="22"/>
      <c r="J14" s="21"/>
    </row>
    <row r="15" spans="1:26" ht="15" outlineLevel="1" thickTop="1"/>
    <row r="16" spans="1:26" outlineLevel="1">
      <c r="A16" s="14">
        <v>30</v>
      </c>
      <c r="B16" s="12" t="s">
        <v>29</v>
      </c>
      <c r="C16" s="12"/>
      <c r="E16" s="12"/>
      <c r="J16" s="12"/>
    </row>
    <row r="17" spans="1:10" outlineLevel="1">
      <c r="B17" s="12"/>
      <c r="C17" s="12"/>
      <c r="E17" s="12"/>
      <c r="J17" s="12"/>
    </row>
    <row r="18" spans="1:10" ht="15" outlineLevel="1" thickBot="1">
      <c r="A18" s="16" t="s">
        <v>2</v>
      </c>
      <c r="B18" s="15" t="str" cm="1">
        <f t="array" aca="1" ref="B18:J18" ca="1">Contract[#Headers]:endright(Contract[[#Headers],[What]])</f>
        <v>What</v>
      </c>
      <c r="C18" s="25" t="str">
        <f ca="1"/>
        <v>Who/Where</v>
      </c>
      <c r="D18" s="24" t="str">
        <f ca="1"/>
        <v>From</v>
      </c>
      <c r="E18" s="16" t="str">
        <f ca="1"/>
        <v>Length</v>
      </c>
      <c r="F18" s="20" t="str">
        <f ca="1"/>
        <v>Notice</v>
      </c>
      <c r="G18" s="24" t="str">
        <f ca="1"/>
        <v>Terminated</v>
      </c>
      <c r="H18" s="24" t="str">
        <f ca="1"/>
        <v>Deadline</v>
      </c>
      <c r="I18" s="8" t="str">
        <f ca="1"/>
        <v>Renewed</v>
      </c>
      <c r="J18" s="13" t="str">
        <f ca="1"/>
        <v>Period</v>
      </c>
    </row>
    <row r="19" spans="1:10" outlineLevel="1">
      <c r="A19" s="17" cm="1">
        <f t="array" aca="1" ref="A19:J19" ca="1">_xlfn.LET(
_xlpm.deadLineCol,COLUMNS(Contract[])+1,
_xlpm.deadLine,_xlfn.CHOOSECOLS(_xlfn.ANCHORARRAY('Contract'!H4),1),
_xlpm.data,_xlfn._xlws.FILTER(Contract[]:_xlfn.ANCHORARRAY('Contract'!H4),(_xlpm.deadLine&lt;=NOW()+A16)*(_xlpm.deadLine&gt;NOW())*(Contract[Terminated]=0)),
_xlpm.output,_xlfn._xlws.SORT(_xlfn.HSTACK(_xlfn.CHOOSECOLS(_xlpm.data,_xlpm.deadLineCol)-TODAY(),_xlpm.data),_xlpm.deadLineCol+1),
_xlpm.output
)</f>
        <v>30</v>
      </c>
      <c r="B19" s="12" t="str">
        <f ca="1"/>
        <v>PowerPage BI Premium</v>
      </c>
      <c r="C19" s="12" t="str">
        <f ca="1"/>
        <v>Server AWS</v>
      </c>
      <c r="D19" s="7">
        <f ca="1"/>
        <v>45028</v>
      </c>
      <c r="E19" s="12">
        <f ca="1"/>
        <v>1</v>
      </c>
      <c r="F19">
        <f ca="1"/>
        <v>1</v>
      </c>
      <c r="G19" s="7">
        <f ca="1"/>
        <v>0</v>
      </c>
      <c r="H19" s="7">
        <f ca="1"/>
        <v>45941</v>
      </c>
      <c r="I19" s="7">
        <f ca="1"/>
        <v>45942</v>
      </c>
      <c r="J19" s="12">
        <f ca="1"/>
        <v>30</v>
      </c>
    </row>
    <row r="20" spans="1:10" outlineLevel="1"/>
    <row r="21" spans="1:10" outlineLevel="1"/>
    <row r="22" spans="1:10" outlineLevel="1"/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7FDD3-DA8D-4ADF-915E-156000D71DAA}">
  <sheetPr>
    <tabColor theme="2" tint="-9.9978637043366805E-2"/>
    <outlinePr showOutlineSymbols="0"/>
  </sheetPr>
  <dimension ref="A1:M73"/>
  <sheetViews>
    <sheetView showOutlineSymbols="0" workbookViewId="0">
      <pane ySplit="3" topLeftCell="A4" activePane="bottomLeft" state="frozen"/>
      <selection activeCell="A16" sqref="A16"/>
      <selection pane="bottomLeft" activeCell="A25" sqref="A25"/>
    </sheetView>
  </sheetViews>
  <sheetFormatPr defaultRowHeight="14.5" outlineLevelCol="1"/>
  <cols>
    <col min="1" max="1" width="6.5" bestFit="1" customWidth="1"/>
    <col min="2" max="3" width="20.08203125" customWidth="1"/>
    <col min="4" max="4" width="12.1640625" style="7" customWidth="1"/>
    <col min="5" max="5" width="8.9140625" customWidth="1"/>
    <col min="6" max="6" width="13.33203125" customWidth="1"/>
    <col min="7" max="7" width="12.1640625" style="7" customWidth="1"/>
    <col min="8" max="9" width="11.08203125" style="7" customWidth="1"/>
    <col min="10" max="10" width="9.33203125" customWidth="1"/>
    <col min="11" max="11" width="39.33203125" style="5" hidden="1" customWidth="1" outlineLevel="1"/>
    <col min="12" max="12" width="8.83203125" style="5" hidden="1" customWidth="1" outlineLevel="1"/>
    <col min="13" max="13" width="8.83203125" collapsed="1"/>
  </cols>
  <sheetData>
    <row r="1" spans="1:13" ht="19.5" thickBot="1">
      <c r="A1" s="6" t="s">
        <v>62</v>
      </c>
      <c r="B1" s="4"/>
      <c r="C1" s="4"/>
      <c r="L1" s="5" t="str" cm="1">
        <f t="array" ref="L1:L3">{"3 sep 2024";"bo.sinander@powerpage.se";".ıI PowerPage"}</f>
        <v>3 sep 2024</v>
      </c>
      <c r="M1" s="5" t="s">
        <v>96</v>
      </c>
    </row>
    <row r="2" spans="1:13" ht="15" thickTop="1">
      <c r="E2" s="9" t="s">
        <v>9</v>
      </c>
      <c r="F2" s="9"/>
      <c r="L2" s="5" t="str">
        <v>bo.sinander@powerpage.se</v>
      </c>
      <c r="M2" s="5"/>
    </row>
    <row r="3" spans="1:13" ht="15" thickBot="1">
      <c r="B3" t="s">
        <v>65</v>
      </c>
      <c r="C3" t="s">
        <v>4</v>
      </c>
      <c r="D3" s="23" t="s">
        <v>64</v>
      </c>
      <c r="E3" t="s">
        <v>34</v>
      </c>
      <c r="F3" s="19" t="s">
        <v>69</v>
      </c>
      <c r="G3" s="7" t="s">
        <v>8</v>
      </c>
      <c r="H3" s="8" t="s">
        <v>81</v>
      </c>
      <c r="K3" s="5" t="s">
        <v>136</v>
      </c>
      <c r="L3" s="5" t="str">
        <v>.ıI PowerPage</v>
      </c>
      <c r="M3" s="5"/>
    </row>
    <row r="4" spans="1:13">
      <c r="B4" t="s">
        <v>105</v>
      </c>
      <c r="C4" t="s">
        <v>111</v>
      </c>
      <c r="D4" s="7">
        <v>45931</v>
      </c>
      <c r="E4" t="s">
        <v>66</v>
      </c>
      <c r="F4">
        <v>6</v>
      </c>
      <c r="H4" s="10" cm="1">
        <f t="array" aca="1" ref="H4:H12" ca="1" xml:space="preserve">
_xlfn.LAMBDA(_xlpm.r,
_xlfn.LET(
_xlpm.from,INDEX(Order_2[When],_xlpm.r),_xlpm.length,INDEX(Order_2[Who],_xlpm.r),_xlpm.noticePeriod,INDEX(Order_2[Amount],_xlpm.r),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IF(Order_2[Terminated]&gt;0,0,Order_2[When])
))(_xlfn.SEQUENCE(ROWS(Order_2[#Data])))</f>
        <v>45931</v>
      </c>
      <c r="K4" s="5" t="s">
        <v>116</v>
      </c>
    </row>
    <row r="5" spans="1:13">
      <c r="B5" t="s">
        <v>106</v>
      </c>
      <c r="C5" t="s">
        <v>115</v>
      </c>
      <c r="D5" s="7">
        <v>45933</v>
      </c>
      <c r="E5" t="s">
        <v>68</v>
      </c>
      <c r="F5">
        <v>12</v>
      </c>
      <c r="G5" s="7">
        <v>45903</v>
      </c>
      <c r="H5" s="7">
        <f ca="1"/>
        <v>0</v>
      </c>
      <c r="K5" s="5" t="s">
        <v>117</v>
      </c>
    </row>
    <row r="6" spans="1:13">
      <c r="B6" t="s">
        <v>106</v>
      </c>
      <c r="C6" t="s">
        <v>114</v>
      </c>
      <c r="D6" s="7">
        <v>44681</v>
      </c>
      <c r="E6" t="s">
        <v>68</v>
      </c>
      <c r="F6">
        <v>1</v>
      </c>
      <c r="H6" s="7">
        <f ca="1"/>
        <v>44681</v>
      </c>
      <c r="K6" s="5" t="s">
        <v>118</v>
      </c>
    </row>
    <row r="7" spans="1:13">
      <c r="B7" t="s">
        <v>107</v>
      </c>
      <c r="C7" t="s">
        <v>115</v>
      </c>
      <c r="D7" s="7">
        <v>41183</v>
      </c>
      <c r="E7" t="s">
        <v>72</v>
      </c>
      <c r="F7">
        <v>15</v>
      </c>
      <c r="H7" s="7">
        <f ca="1"/>
        <v>41183</v>
      </c>
      <c r="K7" s="5" t="s">
        <v>119</v>
      </c>
    </row>
    <row r="8" spans="1:13">
      <c r="B8" t="s">
        <v>107</v>
      </c>
      <c r="C8" t="s">
        <v>113</v>
      </c>
      <c r="D8" s="7">
        <v>45261</v>
      </c>
      <c r="E8" t="s">
        <v>72</v>
      </c>
      <c r="F8">
        <v>5</v>
      </c>
      <c r="H8" s="7">
        <f ca="1"/>
        <v>45261</v>
      </c>
      <c r="K8" s="5" t="s">
        <v>120</v>
      </c>
    </row>
    <row r="9" spans="1:13">
      <c r="B9" t="s">
        <v>108</v>
      </c>
      <c r="C9" t="s">
        <v>112</v>
      </c>
      <c r="D9" s="7">
        <v>45028</v>
      </c>
      <c r="E9" t="s">
        <v>66</v>
      </c>
      <c r="F9">
        <v>12</v>
      </c>
      <c r="H9" s="7">
        <f ca="1"/>
        <v>45028</v>
      </c>
      <c r="K9" s="5" t="s">
        <v>121</v>
      </c>
    </row>
    <row r="10" spans="1:13">
      <c r="B10" t="s">
        <v>109</v>
      </c>
      <c r="C10" t="s">
        <v>113</v>
      </c>
      <c r="D10" s="7">
        <v>41673</v>
      </c>
      <c r="E10" t="s">
        <v>138</v>
      </c>
      <c r="F10">
        <v>8</v>
      </c>
      <c r="H10" s="7">
        <f ca="1"/>
        <v>41673</v>
      </c>
      <c r="K10" s="5" t="s">
        <v>122</v>
      </c>
    </row>
    <row r="11" spans="1:13">
      <c r="B11" t="s">
        <v>110</v>
      </c>
      <c r="C11" t="s">
        <v>113</v>
      </c>
      <c r="D11" s="7">
        <v>45361</v>
      </c>
      <c r="E11" t="s">
        <v>66</v>
      </c>
      <c r="F11">
        <v>44</v>
      </c>
      <c r="H11" s="7">
        <f ca="1"/>
        <v>45361</v>
      </c>
      <c r="K11" s="5" t="s">
        <v>123</v>
      </c>
    </row>
    <row r="12" spans="1:13">
      <c r="B12" t="s">
        <v>110</v>
      </c>
      <c r="C12" t="s">
        <v>114</v>
      </c>
      <c r="D12" s="7">
        <v>45933</v>
      </c>
      <c r="E12" t="s">
        <v>66</v>
      </c>
      <c r="F12">
        <v>32</v>
      </c>
      <c r="H12" s="7">
        <f ca="1"/>
        <v>45933</v>
      </c>
      <c r="K12" s="5" t="s">
        <v>124</v>
      </c>
    </row>
    <row r="13" spans="1:13">
      <c r="K13" s="5" t="s">
        <v>125</v>
      </c>
    </row>
    <row r="14" spans="1:13" ht="15" thickBot="1">
      <c r="A14" s="21"/>
      <c r="B14" s="21"/>
      <c r="C14" s="21"/>
      <c r="D14" s="22"/>
      <c r="E14" s="21"/>
      <c r="F14" s="21"/>
      <c r="G14" s="22"/>
      <c r="H14" s="22"/>
      <c r="K14" s="5" t="s">
        <v>126</v>
      </c>
    </row>
    <row r="15" spans="1:13" ht="15" thickTop="1">
      <c r="K15" s="5" t="s">
        <v>127</v>
      </c>
    </row>
    <row r="16" spans="1:13">
      <c r="A16" s="14">
        <v>20</v>
      </c>
      <c r="B16" s="12" t="s">
        <v>29</v>
      </c>
      <c r="C16" s="12"/>
      <c r="E16" s="12"/>
      <c r="K16" s="5" t="s">
        <v>128</v>
      </c>
    </row>
    <row r="17" spans="1:11">
      <c r="B17" s="12"/>
      <c r="C17" s="12"/>
      <c r="E17" s="12"/>
      <c r="K17" s="5" t="s">
        <v>129</v>
      </c>
    </row>
    <row r="18" spans="1:11" ht="15" thickBot="1">
      <c r="A18" s="16" t="s">
        <v>2</v>
      </c>
      <c r="B18" s="15" t="str" cm="1">
        <f t="array" aca="1" ref="B18:H18" ca="1">Order_2[#Headers]:endright(Order_2[[#Headers],[Order No]])</f>
        <v>Order No</v>
      </c>
      <c r="C18" s="25" t="str">
        <f ca="1"/>
        <v>What</v>
      </c>
      <c r="D18" s="24" t="str">
        <f ca="1"/>
        <v>When</v>
      </c>
      <c r="E18" s="16" t="str">
        <f ca="1"/>
        <v>Who</v>
      </c>
      <c r="F18" s="20" t="str">
        <f ca="1"/>
        <v>Amount</v>
      </c>
      <c r="G18" s="24" t="str">
        <f ca="1"/>
        <v>Terminated</v>
      </c>
      <c r="H18" s="24" t="str">
        <f ca="1"/>
        <v>Delivery</v>
      </c>
      <c r="K18" s="5" t="s">
        <v>130</v>
      </c>
    </row>
    <row r="19" spans="1:11">
      <c r="A19" s="17" cm="1">
        <f t="array" aca="1" ref="A19:H19" ca="1">_xlfn.LET(
_xlpm.deadLineCol,COLUMNS(Order_2[])+1,
_xlpm.deadLine,_xlfn.CHOOSECOLS(_xlfn.ANCHORARRAY(H4),1),
_xlpm.data,_xlfn._xlws.FILTER(Order_2[]:_xlfn.ANCHORARRAY(H4),(_xlpm.deadLine&lt;=NOW()+A16)*(_xlpm.deadLine&gt;NOW())*(Order_2[Terminated]=0)),
_xlpm.output,_xlfn._xlws.SORT(_xlfn.HSTACK(_xlfn.CHOOSECOLS(_xlpm.data,_xlpm.deadLineCol)-TODAY(),_xlpm.data),_xlpm.deadLineCol+1),
_xlpm.output
)</f>
        <v>20</v>
      </c>
      <c r="B19" s="12" t="str">
        <f ca="1"/>
        <v>FG-GOT-4711</v>
      </c>
      <c r="C19" s="12" t="str">
        <f ca="1"/>
        <v>Quantum Comm</v>
      </c>
      <c r="D19" s="7">
        <f ca="1"/>
        <v>45931</v>
      </c>
      <c r="E19" s="12" t="str">
        <f ca="1"/>
        <v>Frontblade</v>
      </c>
      <c r="F19">
        <f ca="1"/>
        <v>6</v>
      </c>
      <c r="G19" s="7">
        <f ca="1"/>
        <v>0</v>
      </c>
      <c r="H19" s="7">
        <f ca="1"/>
        <v>45931</v>
      </c>
      <c r="K19" s="5" t="s">
        <v>131</v>
      </c>
    </row>
    <row r="20" spans="1:11">
      <c r="K20" s="5" t="s">
        <v>132</v>
      </c>
    </row>
    <row r="21" spans="1:11">
      <c r="K21" s="5" t="s">
        <v>133</v>
      </c>
    </row>
    <row r="22" spans="1:11">
      <c r="K22" s="5" t="s">
        <v>134</v>
      </c>
    </row>
    <row r="23" spans="1:11" ht="15" thickBot="1">
      <c r="A23" s="21"/>
      <c r="B23" s="21"/>
      <c r="C23" s="21"/>
      <c r="D23" s="22"/>
      <c r="E23" s="21"/>
      <c r="F23" s="21"/>
      <c r="G23" s="22"/>
      <c r="H23" s="22"/>
      <c r="K23" s="5" t="s">
        <v>135</v>
      </c>
    </row>
    <row r="24" spans="1:11" ht="15" thickTop="1"/>
    <row r="25" spans="1:11" ht="15" thickBot="1">
      <c r="A25" s="3" t="b">
        <v>0</v>
      </c>
      <c r="B25" s="15" t="str" cm="1">
        <f t="array" ref="B25:C25">_xlfn.LET(_xlpm.arr,_xlfn.HSTACK(Order_2[[#Headers],[What]],Order_2[[#Headers],[Who]]),
     _xlpm.revert,A25,
_xlpm.output,IF(_xlpm.revert,INDEX(_xlpm.arr,,{2,1}),INDEX(_xlpm.arr,,{1,2})),
_xlpm.output
)</f>
        <v>What</v>
      </c>
      <c r="C25" s="25" t="str">
        <v>Who</v>
      </c>
    </row>
    <row r="26" spans="1:11">
      <c r="B26" s="26" t="str" cm="1">
        <f t="array" ref="B26:C30">_xlfn.LET(_xlpm.arr,_xlfn.HSTACK(Order_2[What],Order_2[Who]),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",1,_xlfn.UNIQUE(_xlpm.v))),,0),
_xlpm.output
)</f>
        <v>Cluster Control</v>
      </c>
      <c r="C26" s="12" t="str">
        <v>ACME Kit, Cytrix</v>
      </c>
    </row>
    <row r="27" spans="1:11">
      <c r="B27" t="str">
        <v>Orbit Predictor</v>
      </c>
      <c r="C27" t="str">
        <v>Cytrix, Rupelentium, Frontblade</v>
      </c>
    </row>
    <row r="28" spans="1:11">
      <c r="B28" t="str">
        <v>Payload Analyzer</v>
      </c>
      <c r="C28" t="str">
        <v>ACME Kit, Frontblade</v>
      </c>
    </row>
    <row r="29" spans="1:11">
      <c r="B29" t="str">
        <v>Phased Antenna</v>
      </c>
      <c r="C29" t="str">
        <v>Frontblade</v>
      </c>
    </row>
    <row r="30" spans="1:11">
      <c r="B30" t="str">
        <v>Quantum Comm</v>
      </c>
      <c r="C30" t="str">
        <v>Frontblade</v>
      </c>
    </row>
    <row r="35" spans="8:8">
      <c r="H35"/>
    </row>
    <row r="36" spans="8:8">
      <c r="H36"/>
    </row>
    <row r="37" spans="8:8">
      <c r="H37"/>
    </row>
    <row r="38" spans="8:8">
      <c r="H38"/>
    </row>
    <row r="39" spans="8:8">
      <c r="H39"/>
    </row>
    <row r="40" spans="8:8">
      <c r="H40"/>
    </row>
    <row r="41" spans="8:8">
      <c r="H41"/>
    </row>
    <row r="42" spans="8:8">
      <c r="H42"/>
    </row>
    <row r="43" spans="8:8">
      <c r="H43"/>
    </row>
    <row r="44" spans="8:8">
      <c r="H44"/>
    </row>
    <row r="45" spans="8:8">
      <c r="H45"/>
    </row>
    <row r="46" spans="8:8">
      <c r="H46"/>
    </row>
    <row r="47" spans="8:8">
      <c r="H47"/>
    </row>
    <row r="48" spans="8:8">
      <c r="H48"/>
    </row>
    <row r="49" spans="8:8">
      <c r="H49"/>
    </row>
    <row r="50" spans="8:8">
      <c r="H50"/>
    </row>
    <row r="51" spans="8:8">
      <c r="H51"/>
    </row>
    <row r="52" spans="8:8">
      <c r="H52"/>
    </row>
    <row r="53" spans="8:8">
      <c r="H53"/>
    </row>
    <row r="54" spans="8:8">
      <c r="H54"/>
    </row>
    <row r="55" spans="8:8">
      <c r="H55"/>
    </row>
    <row r="56" spans="8:8">
      <c r="H56"/>
    </row>
    <row r="57" spans="8:8">
      <c r="H57"/>
    </row>
    <row r="58" spans="8:8">
      <c r="H58"/>
    </row>
    <row r="59" spans="8:8">
      <c r="H59"/>
    </row>
    <row r="60" spans="8:8">
      <c r="H60"/>
    </row>
    <row r="61" spans="8:8">
      <c r="H61"/>
    </row>
    <row r="62" spans="8:8">
      <c r="H62"/>
    </row>
    <row r="63" spans="8:8">
      <c r="H63"/>
    </row>
    <row r="64" spans="8:8">
      <c r="H64"/>
    </row>
    <row r="65" spans="8:8">
      <c r="H65"/>
    </row>
    <row r="66" spans="8:8">
      <c r="H66"/>
    </row>
    <row r="67" spans="8:8">
      <c r="H67"/>
    </row>
    <row r="68" spans="8:8">
      <c r="H68"/>
    </row>
    <row r="69" spans="8:8">
      <c r="H69"/>
    </row>
    <row r="70" spans="8:8">
      <c r="H70"/>
    </row>
    <row r="71" spans="8:8">
      <c r="H71"/>
    </row>
    <row r="72" spans="8:8">
      <c r="H72"/>
    </row>
    <row r="73" spans="8:8">
      <c r="H73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G35:H54">
    <sortCondition ref="G35:G54"/>
  </sortState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D7AF3-D570-4A00-8409-DA9C12BD80CF}">
  <sheetPr>
    <tabColor theme="8" tint="0.59999389629810485"/>
    <outlinePr showOutlineSymbols="0"/>
  </sheetPr>
  <dimension ref="A1:Z29"/>
  <sheetViews>
    <sheetView showOutlineSymbols="0" workbookViewId="0">
      <pane ySplit="3" topLeftCell="A15" activePane="bottomLeft" state="frozen"/>
      <selection activeCell="A16" sqref="A16"/>
      <selection pane="bottomLeft" activeCell="C27" sqref="C27"/>
    </sheetView>
  </sheetViews>
  <sheetFormatPr defaultRowHeight="14.5" outlineLevelCol="1"/>
  <cols>
    <col min="1" max="1" width="6.5" bestFit="1" customWidth="1"/>
    <col min="2" max="3" width="20.08203125" customWidth="1"/>
    <col min="4" max="4" width="12.1640625" style="7" customWidth="1"/>
    <col min="5" max="5" width="8.9140625" customWidth="1"/>
    <col min="6" max="6" width="13.33203125" customWidth="1"/>
    <col min="7" max="7" width="12.1640625" style="7" customWidth="1"/>
    <col min="8" max="9" width="11.08203125" style="7" customWidth="1"/>
    <col min="10" max="10" width="9.33203125" customWidth="1"/>
    <col min="12" max="16" width="8.83203125" hidden="1" customWidth="1" outlineLevel="1"/>
    <col min="17" max="18" width="12.1640625" style="7" hidden="1" customWidth="1" outlineLevel="1"/>
    <col min="19" max="19" width="10.33203125" hidden="1" customWidth="1" outlineLevel="1"/>
    <col min="20" max="24" width="8.83203125" hidden="1" customWidth="1" outlineLevel="1"/>
    <col min="25" max="25" width="8.83203125" style="5" hidden="1" customWidth="1" outlineLevel="1"/>
    <col min="26" max="26" width="8.83203125" collapsed="1"/>
  </cols>
  <sheetData>
    <row r="1" spans="1:26" ht="19.5" thickBot="1">
      <c r="A1" s="6" t="s">
        <v>47</v>
      </c>
      <c r="B1" s="4"/>
      <c r="C1" s="4"/>
      <c r="Y1" s="5" t="str" cm="1">
        <f t="array" ref="Y1:Y3">{"3 sep 2024";"bo.sinander@powerpage.se";".ıI PowerPage"}</f>
        <v>3 sep 2024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34</v>
      </c>
      <c r="C3" t="s">
        <v>33</v>
      </c>
      <c r="D3" s="23" t="s">
        <v>5</v>
      </c>
      <c r="E3" t="s">
        <v>6</v>
      </c>
      <c r="F3" s="19" t="s">
        <v>7</v>
      </c>
      <c r="G3" s="7" t="s">
        <v>8</v>
      </c>
      <c r="H3" s="8" t="s">
        <v>1</v>
      </c>
      <c r="I3" s="8" t="s">
        <v>10</v>
      </c>
      <c r="J3" s="11" t="s">
        <v>0</v>
      </c>
      <c r="Q3"/>
      <c r="S3" s="7"/>
      <c r="Y3" s="5" t="str">
        <v>.ıI PowerPage</v>
      </c>
      <c r="Z3" s="5"/>
    </row>
    <row r="4" spans="1:26">
      <c r="B4" t="s">
        <v>39</v>
      </c>
      <c r="C4" t="s">
        <v>30</v>
      </c>
      <c r="D4" s="7">
        <v>44681</v>
      </c>
      <c r="E4">
        <v>12</v>
      </c>
      <c r="F4">
        <v>2</v>
      </c>
      <c r="H4" s="10" cm="1">
        <f t="array" aca="1" ref="H4:J12" ca="1" xml:space="preserve">
_xlfn.LAMBDA(_xlpm.r,
_xlfn.LET(
_xlpm.from,INDEX(User[From],_xlpm.r),_xlpm.length,INDEX(User[Length],_xlpm.r),_xlpm.noticePeriod,INDEX(User[Notice],_xlpm.r),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_xlpm.output
))(_xlfn.SEQUENCE(ROWS(User[#Data])))</f>
        <v>46080</v>
      </c>
      <c r="I4" s="7">
        <f ca="1"/>
        <v>46142</v>
      </c>
      <c r="J4">
        <f ca="1"/>
        <v>4</v>
      </c>
      <c r="Q4"/>
      <c r="S4" s="7"/>
    </row>
    <row r="5" spans="1:26">
      <c r="B5" t="s">
        <v>40</v>
      </c>
      <c r="C5" t="s">
        <v>30</v>
      </c>
      <c r="D5" s="7">
        <v>43339</v>
      </c>
      <c r="E5">
        <v>12</v>
      </c>
      <c r="F5">
        <v>2</v>
      </c>
      <c r="H5" s="7">
        <f ca="1"/>
        <v>46199</v>
      </c>
      <c r="I5" s="7">
        <f ca="1"/>
        <v>46261</v>
      </c>
      <c r="J5">
        <f ca="1"/>
        <v>8</v>
      </c>
      <c r="Q5"/>
      <c r="S5" s="7"/>
    </row>
    <row r="6" spans="1:26">
      <c r="B6" t="s">
        <v>139</v>
      </c>
      <c r="C6" t="s">
        <v>30</v>
      </c>
      <c r="D6" s="7">
        <v>43431</v>
      </c>
      <c r="E6">
        <v>12</v>
      </c>
      <c r="F6">
        <v>2</v>
      </c>
      <c r="G6" s="7">
        <v>45903</v>
      </c>
      <c r="H6" s="7">
        <f ca="1"/>
        <v>45926</v>
      </c>
      <c r="I6" s="7">
        <f ca="1"/>
        <v>45988</v>
      </c>
      <c r="J6">
        <f ca="1"/>
        <v>7</v>
      </c>
      <c r="Q6"/>
      <c r="S6" s="7"/>
    </row>
    <row r="7" spans="1:26">
      <c r="B7" t="s">
        <v>39</v>
      </c>
      <c r="C7" t="s">
        <v>82</v>
      </c>
      <c r="D7" s="7">
        <v>41183</v>
      </c>
      <c r="E7">
        <v>12</v>
      </c>
      <c r="F7">
        <v>2</v>
      </c>
      <c r="H7" s="7">
        <f ca="1"/>
        <v>46234</v>
      </c>
      <c r="I7" s="7">
        <f ca="1"/>
        <v>45931</v>
      </c>
      <c r="J7">
        <f ca="1"/>
        <v>13</v>
      </c>
      <c r="Q7"/>
      <c r="S7" s="7"/>
    </row>
    <row r="8" spans="1:26">
      <c r="B8" t="s">
        <v>40</v>
      </c>
      <c r="C8" t="s">
        <v>31</v>
      </c>
      <c r="D8" s="7">
        <v>45261</v>
      </c>
      <c r="E8">
        <v>12</v>
      </c>
      <c r="F8">
        <v>2</v>
      </c>
      <c r="H8" s="7">
        <f ca="1"/>
        <v>45930</v>
      </c>
      <c r="I8" s="7">
        <f ca="1"/>
        <v>45992</v>
      </c>
      <c r="J8">
        <f ca="1"/>
        <v>2</v>
      </c>
      <c r="Q8"/>
      <c r="S8" s="7"/>
    </row>
    <row r="9" spans="1:26">
      <c r="B9" t="s">
        <v>83</v>
      </c>
      <c r="C9" t="s">
        <v>32</v>
      </c>
      <c r="D9" s="7">
        <v>45325</v>
      </c>
      <c r="E9">
        <v>1</v>
      </c>
      <c r="F9">
        <v>0</v>
      </c>
      <c r="H9" s="7">
        <f ca="1"/>
        <v>45963</v>
      </c>
      <c r="I9" s="7">
        <f ca="1"/>
        <v>45964</v>
      </c>
      <c r="J9">
        <f ca="1"/>
        <v>21</v>
      </c>
      <c r="Q9"/>
      <c r="S9" s="7"/>
    </row>
    <row r="10" spans="1:26">
      <c r="B10" t="s">
        <v>40</v>
      </c>
      <c r="C10" t="s">
        <v>32</v>
      </c>
      <c r="D10" s="7">
        <v>45028</v>
      </c>
      <c r="E10">
        <v>9</v>
      </c>
      <c r="F10">
        <v>3</v>
      </c>
      <c r="H10" s="7">
        <f ca="1"/>
        <v>46033</v>
      </c>
      <c r="I10" s="7">
        <f ca="1"/>
        <v>46124</v>
      </c>
      <c r="J10">
        <f ca="1"/>
        <v>4</v>
      </c>
      <c r="Q10"/>
      <c r="S10" s="7"/>
    </row>
    <row r="11" spans="1:26">
      <c r="B11" t="s">
        <v>39</v>
      </c>
      <c r="C11" t="s">
        <v>28</v>
      </c>
      <c r="D11" s="7">
        <v>45361</v>
      </c>
      <c r="E11">
        <v>12</v>
      </c>
      <c r="F11">
        <v>2</v>
      </c>
      <c r="H11" s="7">
        <f ca="1"/>
        <v>46031</v>
      </c>
      <c r="I11" s="7">
        <f ca="1"/>
        <v>46091</v>
      </c>
      <c r="J11">
        <f ca="1"/>
        <v>2</v>
      </c>
      <c r="Q11"/>
      <c r="S11" s="7"/>
    </row>
    <row r="12" spans="1:26">
      <c r="B12" t="s">
        <v>40</v>
      </c>
      <c r="C12" t="s">
        <v>28</v>
      </c>
      <c r="D12" s="7">
        <v>45361</v>
      </c>
      <c r="E12">
        <v>12</v>
      </c>
      <c r="F12">
        <v>2</v>
      </c>
      <c r="H12" s="7">
        <f ca="1"/>
        <v>46031</v>
      </c>
      <c r="I12" s="7">
        <f ca="1"/>
        <v>46091</v>
      </c>
      <c r="J12">
        <f ca="1"/>
        <v>2</v>
      </c>
      <c r="Q12"/>
      <c r="S12" s="7"/>
    </row>
    <row r="13" spans="1:26">
      <c r="Q13"/>
      <c r="S13" s="7"/>
    </row>
    <row r="14" spans="1:26" ht="15" thickBot="1">
      <c r="A14" s="21"/>
      <c r="B14" s="21"/>
      <c r="C14" s="21"/>
      <c r="D14" s="22"/>
      <c r="E14" s="21"/>
      <c r="F14" s="21"/>
      <c r="G14" s="22"/>
      <c r="H14" s="22"/>
      <c r="I14" s="22"/>
      <c r="J14" s="21"/>
    </row>
    <row r="15" spans="1:26" ht="15" thickTop="1"/>
    <row r="16" spans="1:26">
      <c r="A16" s="14">
        <v>30</v>
      </c>
      <c r="B16" s="12" t="s">
        <v>29</v>
      </c>
      <c r="C16" s="12"/>
      <c r="E16" s="12"/>
      <c r="J16" s="12"/>
    </row>
    <row r="17" spans="1:10">
      <c r="B17" s="12"/>
      <c r="C17" s="12"/>
      <c r="E17" s="12"/>
      <c r="J17" s="12"/>
    </row>
    <row r="18" spans="1:10" ht="15" thickBot="1">
      <c r="A18" s="16" t="s">
        <v>2</v>
      </c>
      <c r="B18" s="15" t="str" cm="1">
        <f t="array" aca="1" ref="B18:J18" ca="1">User[#Headers]:endright(User[[#Headers],[Where]])</f>
        <v>Who</v>
      </c>
      <c r="C18" s="25" t="str">
        <f ca="1"/>
        <v>Where</v>
      </c>
      <c r="D18" s="24" t="str">
        <f ca="1"/>
        <v>From</v>
      </c>
      <c r="E18" s="16" t="str">
        <f ca="1"/>
        <v>Length</v>
      </c>
      <c r="F18" s="20" t="str">
        <f ca="1"/>
        <v>Notice</v>
      </c>
      <c r="G18" s="24" t="str">
        <f ca="1"/>
        <v>Terminated</v>
      </c>
      <c r="H18" s="24" t="str">
        <f ca="1"/>
        <v>Deadline</v>
      </c>
      <c r="I18" s="8" t="str">
        <f ca="1"/>
        <v>Renewed</v>
      </c>
      <c r="J18" s="13" t="str">
        <f ca="1"/>
        <v>Period</v>
      </c>
    </row>
    <row r="19" spans="1:10">
      <c r="A19" s="17" cm="1">
        <f t="array" aca="1" ref="A19:J19" ca="1">_xlfn.LET(
_xlpm.deadLineCol,COLUMNS(User[])+1,
_xlpm.deadLine,_xlfn.CHOOSECOLS(_xlfn.ANCHORARRAY(H4),1),
_xlpm.data,_xlfn._xlws.FILTER(User[]:_xlfn.ANCHORARRAY(H4),(_xlpm.deadLine&lt;=NOW()+A16)*(_xlpm.deadLine&gt;NOW())*(User[Terminated]=0)),
_xlpm.output,_xlfn._xlws.SORT(_xlfn.HSTACK(_xlfn.CHOOSECOLS(_xlpm.data,_xlpm.deadLineCol)-TODAY(),_xlpm.data),_xlpm.deadLineCol+1),
_xlpm.output
)</f>
        <v>19</v>
      </c>
      <c r="B19" s="12" t="str">
        <f ca="1"/>
        <v>Linnea Trohgen</v>
      </c>
      <c r="C19" s="12" t="str">
        <f ca="1"/>
        <v>Exchange</v>
      </c>
      <c r="D19" s="7">
        <f ca="1"/>
        <v>45261</v>
      </c>
      <c r="E19" s="12">
        <f ca="1"/>
        <v>12</v>
      </c>
      <c r="F19">
        <f ca="1"/>
        <v>2</v>
      </c>
      <c r="G19" s="7">
        <f ca="1"/>
        <v>0</v>
      </c>
      <c r="H19" s="7">
        <f ca="1"/>
        <v>45930</v>
      </c>
      <c r="I19" s="7">
        <f ca="1"/>
        <v>45992</v>
      </c>
      <c r="J19" s="12">
        <f ca="1"/>
        <v>2</v>
      </c>
    </row>
    <row r="23" spans="1:10" ht="15" thickBot="1">
      <c r="A23" s="21"/>
      <c r="B23" s="21"/>
      <c r="C23" s="21"/>
      <c r="D23" s="22"/>
      <c r="E23" s="21"/>
      <c r="F23" s="21"/>
      <c r="G23" s="22"/>
      <c r="H23" s="22"/>
      <c r="I23" s="22"/>
      <c r="J23" s="21"/>
    </row>
    <row r="24" spans="1:10" ht="15" thickTop="1"/>
    <row r="25" spans="1:10" ht="15" thickBot="1">
      <c r="A25" s="3" t="b">
        <v>0</v>
      </c>
      <c r="B25" s="15" t="str" cm="1">
        <f t="array" ref="B25:C25">_xlfn.LET(_xlpm.arr,User[[#Headers],[Who]:[Where]],
     _xlpm.revert,A25,
_xlpm.sortorder,1-2*_xlpm.revert,
_xlpm.output,_xlfn.SORTBY(_xlpm.arr,COLUMN(_xlpm.arr),_xlpm.sortorder),
_xlpm.output
)</f>
        <v>Who</v>
      </c>
      <c r="C25" s="25" t="str">
        <v>Where</v>
      </c>
    </row>
    <row r="26" spans="1:10">
      <c r="B26" s="26" t="str" cm="1">
        <f t="array" ref="B26:C29">_xlfn.LET(_xlpm.arr,User[[Who]:[Where]],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",1,_xlpm.v)),,0),
_xlpm.output
)</f>
        <v>Lars Bergfaste</v>
      </c>
      <c r="C26" s="12" t="str">
        <v>Active Directory, Executive Dashboard, Microsoft 365</v>
      </c>
    </row>
    <row r="27" spans="1:10">
      <c r="B27" t="str">
        <v>Linnea Trohgen</v>
      </c>
      <c r="C27" t="str">
        <v>Active Directory, Exchange, HR/Human Resources, Microsoft 365</v>
      </c>
    </row>
    <row r="28" spans="1:10">
      <c r="B28" t="str">
        <v>Malin Trehörning (ext)</v>
      </c>
      <c r="C28" t="str">
        <v>Active Directory</v>
      </c>
    </row>
    <row r="29" spans="1:10">
      <c r="B29" t="str">
        <v>Per-Erik Enoksson</v>
      </c>
      <c r="C29" t="str">
        <v>HR/Human Resources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16189-DD7E-42D3-A6F9-926D023C3BA5}">
  <sheetPr>
    <tabColor theme="9" tint="0.59999389629810485"/>
    <outlinePr showOutlineSymbols="0"/>
  </sheetPr>
  <dimension ref="A1:Z30"/>
  <sheetViews>
    <sheetView tabSelected="1" showOutlineSymbols="0" workbookViewId="0">
      <pane ySplit="3" topLeftCell="A4" activePane="bottomLeft" state="frozen"/>
      <selection activeCell="A16" sqref="A16"/>
      <selection pane="bottomLeft" activeCell="K4" sqref="K4"/>
    </sheetView>
  </sheetViews>
  <sheetFormatPr defaultRowHeight="14.5" outlineLevelCol="1"/>
  <cols>
    <col min="1" max="1" width="6.5" bestFit="1" customWidth="1"/>
    <col min="2" max="3" width="20.08203125" customWidth="1"/>
    <col min="4" max="4" width="12.1640625" style="7" customWidth="1"/>
    <col min="5" max="5" width="8.9140625" customWidth="1"/>
    <col min="6" max="6" width="13.33203125" customWidth="1"/>
    <col min="7" max="7" width="12.1640625" style="7" customWidth="1"/>
    <col min="8" max="9" width="11.08203125" style="7" customWidth="1"/>
    <col min="10" max="10" width="9.33203125" customWidth="1"/>
    <col min="12" max="16" width="8.83203125" hidden="1" customWidth="1" outlineLevel="1"/>
    <col min="17" max="18" width="12.1640625" style="7" hidden="1" customWidth="1" outlineLevel="1"/>
    <col min="19" max="19" width="10.33203125" hidden="1" customWidth="1" outlineLevel="1"/>
    <col min="20" max="24" width="8.83203125" hidden="1" customWidth="1" outlineLevel="1"/>
    <col min="25" max="25" width="8.83203125" style="5" hidden="1" customWidth="1" outlineLevel="1"/>
    <col min="26" max="26" width="8.83203125" collapsed="1"/>
  </cols>
  <sheetData>
    <row r="1" spans="1:26" ht="19.5" thickBot="1">
      <c r="A1" s="6" t="s">
        <v>46</v>
      </c>
      <c r="B1" s="4"/>
      <c r="C1" s="4"/>
      <c r="Y1" s="5" t="str" cm="1">
        <f t="array" ref="Y1:Y3">{"3 sep 2024";"bo.sinander@powerpage.se";".ıI PowerPage"}</f>
        <v>3 sep 2024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4</v>
      </c>
      <c r="C3" t="s">
        <v>34</v>
      </c>
      <c r="D3" s="23" t="s">
        <v>5</v>
      </c>
      <c r="E3" t="s">
        <v>6</v>
      </c>
      <c r="F3" s="19" t="s">
        <v>7</v>
      </c>
      <c r="G3" s="7" t="s">
        <v>8</v>
      </c>
      <c r="H3" s="8" t="s">
        <v>1</v>
      </c>
      <c r="I3" s="8" t="s">
        <v>10</v>
      </c>
      <c r="J3" s="11" t="s">
        <v>0</v>
      </c>
      <c r="Q3"/>
      <c r="S3" s="7"/>
      <c r="Y3" s="5" t="str">
        <v>.ıI PowerPage</v>
      </c>
      <c r="Z3" s="5"/>
    </row>
    <row r="4" spans="1:26">
      <c r="B4" t="s">
        <v>35</v>
      </c>
      <c r="C4" t="s">
        <v>39</v>
      </c>
      <c r="D4" s="7">
        <v>41183</v>
      </c>
      <c r="E4">
        <v>12</v>
      </c>
      <c r="F4">
        <v>4</v>
      </c>
      <c r="H4" s="10" cm="1">
        <f t="array" aca="1" ref="H4:J12" ca="1" xml:space="preserve">
_xlfn.LAMBDA(_xlpm.r,
_xlfn.LET(
_xlpm.from,INDEX(Cert[From],_xlpm.r),_xlpm.length,INDEX(Cert[Length],_xlpm.r),_xlpm.noticePeriod,INDEX(Cert[Notice],_xlpm.r),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_xlpm.output
))(_xlfn.SEQUENCE(ROWS(Cert[#Data])))</f>
        <v>46173</v>
      </c>
      <c r="I4" s="7">
        <f ca="1"/>
        <v>45931</v>
      </c>
      <c r="J4">
        <f ca="1"/>
        <v>13</v>
      </c>
      <c r="Q4"/>
      <c r="S4" s="7"/>
    </row>
    <row r="5" spans="1:26">
      <c r="B5" t="s">
        <v>35</v>
      </c>
      <c r="C5" t="s">
        <v>45</v>
      </c>
      <c r="D5" s="7">
        <v>40148</v>
      </c>
      <c r="E5">
        <v>12</v>
      </c>
      <c r="F5">
        <v>2</v>
      </c>
      <c r="H5" s="7">
        <f ca="1"/>
        <v>45930</v>
      </c>
      <c r="I5" s="7">
        <f ca="1"/>
        <v>45992</v>
      </c>
      <c r="J5">
        <f ca="1"/>
        <v>16</v>
      </c>
      <c r="Q5"/>
      <c r="S5" s="7"/>
    </row>
    <row r="6" spans="1:26">
      <c r="B6" t="s">
        <v>38</v>
      </c>
      <c r="C6" t="s">
        <v>40</v>
      </c>
      <c r="D6" s="7">
        <v>45361</v>
      </c>
      <c r="E6">
        <v>12</v>
      </c>
      <c r="F6">
        <v>2</v>
      </c>
      <c r="H6" s="7">
        <f ca="1"/>
        <v>46031</v>
      </c>
      <c r="I6" s="7">
        <f ca="1"/>
        <v>46091</v>
      </c>
      <c r="J6">
        <f ca="1"/>
        <v>2</v>
      </c>
      <c r="Q6"/>
      <c r="S6" s="7"/>
    </row>
    <row r="7" spans="1:26">
      <c r="B7" t="s">
        <v>84</v>
      </c>
      <c r="C7" t="s">
        <v>39</v>
      </c>
      <c r="D7" s="7">
        <v>43339</v>
      </c>
      <c r="E7">
        <v>60</v>
      </c>
      <c r="F7">
        <v>2</v>
      </c>
      <c r="H7" s="7">
        <f ca="1"/>
        <v>46930</v>
      </c>
      <c r="I7" s="7">
        <f ca="1"/>
        <v>46992</v>
      </c>
      <c r="J7">
        <f ca="1"/>
        <v>2</v>
      </c>
      <c r="Q7"/>
      <c r="S7" s="7"/>
    </row>
    <row r="8" spans="1:26">
      <c r="B8" t="s">
        <v>36</v>
      </c>
      <c r="C8" t="s">
        <v>40</v>
      </c>
      <c r="D8" s="7">
        <v>43339</v>
      </c>
      <c r="E8">
        <v>120</v>
      </c>
      <c r="F8">
        <v>2</v>
      </c>
      <c r="G8" s="7">
        <v>46022</v>
      </c>
      <c r="H8" s="7">
        <f ca="1"/>
        <v>46930</v>
      </c>
      <c r="I8" s="7">
        <f ca="1"/>
        <v>46992</v>
      </c>
      <c r="J8">
        <f ca="1"/>
        <v>1</v>
      </c>
      <c r="Q8"/>
      <c r="S8" s="7"/>
    </row>
    <row r="9" spans="1:26">
      <c r="B9" t="s">
        <v>36</v>
      </c>
      <c r="C9" t="s">
        <v>41</v>
      </c>
      <c r="D9" s="7">
        <v>44681</v>
      </c>
      <c r="E9">
        <v>120</v>
      </c>
      <c r="F9">
        <v>2</v>
      </c>
      <c r="H9" s="7">
        <f ca="1"/>
        <v>48272</v>
      </c>
      <c r="I9" s="7">
        <f ca="1"/>
        <v>48334</v>
      </c>
      <c r="J9">
        <f ca="1"/>
        <v>1</v>
      </c>
      <c r="Q9"/>
      <c r="S9" s="7"/>
    </row>
    <row r="10" spans="1:26">
      <c r="B10" t="s">
        <v>84</v>
      </c>
      <c r="C10" t="s">
        <v>45</v>
      </c>
      <c r="D10" s="7">
        <v>45903</v>
      </c>
      <c r="E10">
        <v>12</v>
      </c>
      <c r="F10">
        <v>4</v>
      </c>
      <c r="H10" s="7">
        <f ca="1"/>
        <v>46144</v>
      </c>
      <c r="I10" s="7">
        <f ca="1"/>
        <v>46268</v>
      </c>
      <c r="J10">
        <f ca="1"/>
        <v>1</v>
      </c>
      <c r="Q10"/>
      <c r="S10" s="7"/>
    </row>
    <row r="11" spans="1:26">
      <c r="B11" t="s">
        <v>37</v>
      </c>
      <c r="C11" t="s">
        <v>39</v>
      </c>
      <c r="D11" s="7">
        <v>45028</v>
      </c>
      <c r="E11">
        <v>144</v>
      </c>
      <c r="F11">
        <v>9</v>
      </c>
      <c r="H11" s="7">
        <f ca="1"/>
        <v>49136</v>
      </c>
      <c r="I11" s="7">
        <f ca="1"/>
        <v>49411</v>
      </c>
      <c r="J11">
        <f ca="1"/>
        <v>1</v>
      </c>
      <c r="Q11"/>
      <c r="S11" s="7"/>
    </row>
    <row r="12" spans="1:26">
      <c r="B12" t="s">
        <v>37</v>
      </c>
      <c r="C12" t="s">
        <v>40</v>
      </c>
      <c r="D12" s="7">
        <v>41673</v>
      </c>
      <c r="E12">
        <v>144</v>
      </c>
      <c r="F12">
        <v>9</v>
      </c>
      <c r="H12" s="7">
        <f ca="1"/>
        <v>50162</v>
      </c>
      <c r="I12" s="7">
        <f ca="1"/>
        <v>46056</v>
      </c>
      <c r="J12">
        <f ca="1"/>
        <v>1</v>
      </c>
      <c r="Q12"/>
      <c r="S12" s="7"/>
    </row>
    <row r="13" spans="1:26">
      <c r="Q13"/>
      <c r="S13" s="7"/>
    </row>
    <row r="14" spans="1:26" ht="15" thickBot="1">
      <c r="A14" s="21"/>
      <c r="B14" s="21"/>
      <c r="C14" s="21"/>
      <c r="D14" s="22"/>
      <c r="E14" s="21"/>
      <c r="F14" s="21"/>
      <c r="G14" s="22"/>
      <c r="H14" s="22"/>
      <c r="I14" s="22"/>
      <c r="J14" s="21"/>
    </row>
    <row r="15" spans="1:26" ht="15" thickTop="1"/>
    <row r="16" spans="1:26">
      <c r="A16" s="14">
        <v>30</v>
      </c>
      <c r="B16" s="12" t="s">
        <v>29</v>
      </c>
      <c r="C16" s="12"/>
      <c r="E16" s="12"/>
      <c r="J16" s="12"/>
    </row>
    <row r="17" spans="1:10">
      <c r="B17" s="12"/>
      <c r="C17" s="12"/>
      <c r="E17" s="12"/>
      <c r="J17" s="12"/>
    </row>
    <row r="18" spans="1:10" ht="15" thickBot="1">
      <c r="A18" s="16" t="s">
        <v>2</v>
      </c>
      <c r="B18" s="15" t="str" cm="1">
        <f t="array" aca="1" ref="B18:J18" ca="1">Cert[#Headers]:endright(Cert[[#Headers],[What]])</f>
        <v>What</v>
      </c>
      <c r="C18" s="25" t="str">
        <f ca="1"/>
        <v>Who</v>
      </c>
      <c r="D18" s="24" t="str">
        <f ca="1"/>
        <v>From</v>
      </c>
      <c r="E18" s="16" t="str">
        <f ca="1"/>
        <v>Length</v>
      </c>
      <c r="F18" s="20" t="str">
        <f ca="1"/>
        <v>Notice</v>
      </c>
      <c r="G18" s="24" t="str">
        <f ca="1"/>
        <v>Terminated</v>
      </c>
      <c r="H18" s="24" t="str">
        <f ca="1"/>
        <v>Deadline</v>
      </c>
      <c r="I18" s="8" t="str">
        <f ca="1"/>
        <v>Renewed</v>
      </c>
      <c r="J18" s="13" t="str">
        <f ca="1"/>
        <v>Period</v>
      </c>
    </row>
    <row r="19" spans="1:10">
      <c r="A19" s="17" cm="1">
        <f t="array" aca="1" ref="A19:J19" ca="1">_xlfn.LET(
_xlpm.deadLineCol,COLUMNS(Cert[])+1,
_xlpm.deadLine,_xlfn.CHOOSECOLS(_xlfn.ANCHORARRAY(H4),1),
_xlpm.data,_xlfn._xlws.FILTER(Cert[]:_xlfn.ANCHORARRAY(H4),(_xlpm.deadLine&lt;=NOW()+A16)*(_xlpm.deadLine&gt;NOW())*(Cert[Terminated]=0)),
_xlpm.output,_xlfn._xlws.SORT(_xlfn.HSTACK(_xlfn.CHOOSECOLS(_xlpm.data,_xlpm.deadLineCol)-TODAY(),_xlpm.data),_xlpm.deadLineCol+1),
_xlpm.output
)</f>
        <v>19</v>
      </c>
      <c r="B19" s="12" t="str">
        <f ca="1"/>
        <v>CISSP</v>
      </c>
      <c r="C19" s="12" t="str">
        <f ca="1"/>
        <v>Per-Erik Eriksson</v>
      </c>
      <c r="D19" s="7">
        <f ca="1"/>
        <v>40148</v>
      </c>
      <c r="E19" s="12">
        <f ca="1"/>
        <v>12</v>
      </c>
      <c r="F19">
        <f ca="1"/>
        <v>2</v>
      </c>
      <c r="G19" s="7">
        <f ca="1"/>
        <v>0</v>
      </c>
      <c r="H19" s="7">
        <f ca="1"/>
        <v>45930</v>
      </c>
      <c r="I19" s="7">
        <f ca="1"/>
        <v>45992</v>
      </c>
      <c r="J19" s="12">
        <f ca="1"/>
        <v>16</v>
      </c>
    </row>
    <row r="23" spans="1:10" ht="15" thickBot="1">
      <c r="A23" s="21"/>
      <c r="B23" s="21"/>
      <c r="C23" s="21"/>
      <c r="D23" s="22"/>
      <c r="E23" s="21"/>
      <c r="F23" s="21"/>
      <c r="G23" s="22"/>
      <c r="H23" s="22"/>
      <c r="I23" s="22"/>
      <c r="J23" s="21"/>
    </row>
    <row r="24" spans="1:10" ht="15" thickTop="1"/>
    <row r="25" spans="1:10" ht="15" thickBot="1">
      <c r="A25" s="3" t="b">
        <v>0</v>
      </c>
      <c r="B25" s="15" t="str" cm="1">
        <f t="array" ref="B25:C25">_xlfn.LET(_xlpm.arr,Cert[[#Headers],[What]:[Who]],
     _xlpm.revert,A25,
_xlpm.sortorder,1-2*_xlpm.revert,
_xlpm.output,_xlfn.SORTBY(_xlpm.arr,COLUMN(_xlpm.arr),_xlpm.sortorder),
_xlpm.output
)</f>
        <v>What</v>
      </c>
      <c r="C25" s="25" t="str">
        <v>Who</v>
      </c>
    </row>
    <row r="26" spans="1:10">
      <c r="B26" s="26" t="str" cm="1">
        <f t="array" ref="B26:C30">_xlfn.LET(_xlpm.arr,Cert[[What]:[Who]],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",1,_xlpm.v)),,0),
_xlpm.output
)</f>
        <v>CISSP</v>
      </c>
      <c r="C26" s="12" t="str">
        <v>Lars Bergfaste, Per-Erik Eriksson</v>
      </c>
    </row>
    <row r="27" spans="1:10">
      <c r="B27" t="str">
        <v>Close Combat</v>
      </c>
      <c r="C27" t="str">
        <v>Linnea Trohgen</v>
      </c>
    </row>
    <row r="28" spans="1:10">
      <c r="B28" t="str">
        <v>Drivers License AM,B,BE</v>
      </c>
      <c r="C28" t="str">
        <v>Lars Bergfaste, Per-Erik Eriksson</v>
      </c>
    </row>
    <row r="29" spans="1:10">
      <c r="B29" t="str">
        <v>Drivers License B</v>
      </c>
      <c r="C29" t="str">
        <v>Linnea Trohgen, Malin Trehörning</v>
      </c>
    </row>
    <row r="30" spans="1:10">
      <c r="B30" t="str">
        <v>Monitor ERP certified</v>
      </c>
      <c r="C30" t="str">
        <v>Lars Bergfaste, Linnea Trohgen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B7212-5C0C-4D63-9C9A-4DB604414DC4}">
  <sheetPr>
    <tabColor theme="5" tint="0.39997558519241921"/>
    <outlinePr showOutlineSymbols="0"/>
  </sheetPr>
  <dimension ref="A1:Z30"/>
  <sheetViews>
    <sheetView showOutlineSymbols="0" workbookViewId="0">
      <pane ySplit="3" topLeftCell="A4" activePane="bottomLeft" state="frozen"/>
      <selection activeCell="A16" sqref="A16"/>
      <selection pane="bottomLeft" activeCell="A16" sqref="A16"/>
    </sheetView>
  </sheetViews>
  <sheetFormatPr defaultRowHeight="14.5" outlineLevelCol="1"/>
  <cols>
    <col min="1" max="1" width="6.5" bestFit="1" customWidth="1"/>
    <col min="2" max="3" width="20.08203125" customWidth="1"/>
    <col min="4" max="4" width="12.1640625" style="7" customWidth="1"/>
    <col min="5" max="5" width="8.9140625" customWidth="1"/>
    <col min="6" max="6" width="13.33203125" customWidth="1"/>
    <col min="7" max="7" width="12.1640625" style="7" customWidth="1"/>
    <col min="8" max="9" width="11.08203125" style="7" customWidth="1"/>
    <col min="10" max="10" width="9.33203125" customWidth="1"/>
    <col min="12" max="16" width="8.83203125" hidden="1" customWidth="1" outlineLevel="1"/>
    <col min="17" max="18" width="12.1640625" style="7" hidden="1" customWidth="1" outlineLevel="1"/>
    <col min="19" max="19" width="10.33203125" hidden="1" customWidth="1" outlineLevel="1"/>
    <col min="20" max="24" width="8.83203125" hidden="1" customWidth="1" outlineLevel="1"/>
    <col min="25" max="25" width="8.83203125" style="5" hidden="1" customWidth="1" outlineLevel="1"/>
    <col min="26" max="26" width="8.83203125" collapsed="1"/>
  </cols>
  <sheetData>
    <row r="1" spans="1:26" ht="19.5" thickBot="1">
      <c r="A1" s="6" t="s">
        <v>62</v>
      </c>
      <c r="B1" s="4"/>
      <c r="C1" s="4"/>
      <c r="Y1" s="5" t="str" cm="1">
        <f t="array" ref="Y1:Y3">{"3 sep 2024";"bo.sinander@powerpage.se";".ıI PowerPage"}</f>
        <v>3 sep 2024</v>
      </c>
    </row>
    <row r="2" spans="1:26" ht="15" thickTop="1">
      <c r="E2" s="9" t="s">
        <v>9</v>
      </c>
      <c r="F2" s="9"/>
      <c r="Q2"/>
      <c r="S2" s="7"/>
      <c r="Y2" s="5" t="str">
        <v>bo.sinander@powerpage.se</v>
      </c>
      <c r="Z2" s="5"/>
    </row>
    <row r="3" spans="1:26" ht="15" thickBot="1">
      <c r="B3" t="s">
        <v>65</v>
      </c>
      <c r="C3" t="s">
        <v>4</v>
      </c>
      <c r="D3" s="23" t="s">
        <v>64</v>
      </c>
      <c r="E3" t="s">
        <v>34</v>
      </c>
      <c r="F3" s="19" t="s">
        <v>69</v>
      </c>
      <c r="G3" s="7" t="s">
        <v>8</v>
      </c>
      <c r="H3" s="8" t="s">
        <v>81</v>
      </c>
      <c r="Q3"/>
      <c r="S3" s="7"/>
      <c r="Y3" s="5" t="str">
        <v>.ıI PowerPage</v>
      </c>
      <c r="Z3" s="5"/>
    </row>
    <row r="4" spans="1:26">
      <c r="B4" t="s">
        <v>75</v>
      </c>
      <c r="C4" t="s">
        <v>63</v>
      </c>
      <c r="D4" s="7">
        <v>45931</v>
      </c>
      <c r="E4" t="s">
        <v>66</v>
      </c>
      <c r="F4">
        <v>6</v>
      </c>
      <c r="H4" s="10" cm="1">
        <f t="array" aca="1" ref="H4:H12" ca="1" xml:space="preserve">
_xlfn.LAMBDA(_xlpm.r,
_xlfn.LET(
_xlpm.from,INDEX(Order[When],_xlpm.r),_xlpm.length,INDEX(Order[Who],_xlpm.r),_xlpm.noticePeriod,INDEX(Order[Amount],_xlpm.r),
_xlpm.duration,EDATE(_xlpm.from,_xlpm.length)-_xlpm.from,
_xlpm.days,NOW()-_xlpm.from,
_xlpm.periodsPassed,INT(_xlpm.days/_xlpm.duration),
_xlpm.expires,EDATE(_xlpm.from,_xlpm.length*(_xlpm.periodsPassed+1)),
_xlpm.cancelAtLatest,EDATE(_xlpm.expires,-_xlpm.noticePeriod)-1,
_xlpm.addPeriod,IF(NOW()&gt;_xlpm.cancelAtLatest,_xlpm.length,0),
_xlpm.nextCancelDate,EDATE(_xlpm.cancelAtLatest,_xlpm.addPeriod),
_xlpm.about,"bo.sinander@powerpage.se 2024-03-05",
_xlpm.output,_xlfn.HSTACK(_xlpm.nextCancelDate,_xlpm.expires,_xlpm.periodsPassed+1),
IF(Order[Terminated]&gt;0,0,Order[When])
))(_xlfn.SEQUENCE(ROWS(Order[#Data])))</f>
        <v>45931</v>
      </c>
      <c r="Q4"/>
      <c r="S4" s="7"/>
    </row>
    <row r="5" spans="1:26">
      <c r="B5" t="s">
        <v>76</v>
      </c>
      <c r="C5" t="s">
        <v>67</v>
      </c>
      <c r="D5" s="7">
        <v>45933</v>
      </c>
      <c r="E5" t="s">
        <v>68</v>
      </c>
      <c r="F5">
        <v>12</v>
      </c>
      <c r="G5" s="7">
        <v>45903</v>
      </c>
      <c r="H5" s="7">
        <f ca="1"/>
        <v>0</v>
      </c>
      <c r="Q5"/>
      <c r="S5" s="7"/>
    </row>
    <row r="6" spans="1:26">
      <c r="B6" t="s">
        <v>76</v>
      </c>
      <c r="C6" t="s">
        <v>73</v>
      </c>
      <c r="D6" s="7">
        <v>44681</v>
      </c>
      <c r="E6" t="s">
        <v>68</v>
      </c>
      <c r="F6">
        <v>1</v>
      </c>
      <c r="H6" s="7">
        <f ca="1"/>
        <v>44681</v>
      </c>
      <c r="Q6"/>
      <c r="S6" s="7"/>
    </row>
    <row r="7" spans="1:26">
      <c r="B7" t="s">
        <v>77</v>
      </c>
      <c r="C7" t="s">
        <v>67</v>
      </c>
      <c r="D7" s="7">
        <v>41183</v>
      </c>
      <c r="E7" t="s">
        <v>72</v>
      </c>
      <c r="F7">
        <v>15</v>
      </c>
      <c r="H7" s="7">
        <f ca="1"/>
        <v>41183</v>
      </c>
      <c r="Q7"/>
      <c r="S7" s="7"/>
    </row>
    <row r="8" spans="1:26">
      <c r="B8" t="s">
        <v>77</v>
      </c>
      <c r="C8" t="s">
        <v>71</v>
      </c>
      <c r="D8" s="7">
        <v>45261</v>
      </c>
      <c r="E8" t="s">
        <v>72</v>
      </c>
      <c r="F8">
        <v>5</v>
      </c>
      <c r="H8" s="7">
        <f ca="1"/>
        <v>45261</v>
      </c>
      <c r="Q8"/>
      <c r="S8" s="7"/>
    </row>
    <row r="9" spans="1:26">
      <c r="B9" t="s">
        <v>78</v>
      </c>
      <c r="C9" t="s">
        <v>70</v>
      </c>
      <c r="D9" s="7">
        <v>45028</v>
      </c>
      <c r="E9" t="s">
        <v>66</v>
      </c>
      <c r="F9">
        <v>12</v>
      </c>
      <c r="H9" s="7">
        <f ca="1"/>
        <v>45028</v>
      </c>
      <c r="Q9"/>
      <c r="S9" s="7"/>
    </row>
    <row r="10" spans="1:26">
      <c r="B10" t="s">
        <v>79</v>
      </c>
      <c r="C10" t="s">
        <v>71</v>
      </c>
      <c r="D10" s="7">
        <v>41673</v>
      </c>
      <c r="E10" t="s">
        <v>74</v>
      </c>
      <c r="F10">
        <v>8</v>
      </c>
      <c r="H10" s="7">
        <f ca="1"/>
        <v>41673</v>
      </c>
      <c r="Q10"/>
      <c r="S10" s="7"/>
    </row>
    <row r="11" spans="1:26">
      <c r="B11" t="s">
        <v>80</v>
      </c>
      <c r="C11" t="s">
        <v>71</v>
      </c>
      <c r="D11" s="7">
        <v>45361</v>
      </c>
      <c r="E11" t="s">
        <v>66</v>
      </c>
      <c r="F11">
        <v>44</v>
      </c>
      <c r="H11" s="7">
        <f ca="1"/>
        <v>45361</v>
      </c>
      <c r="Q11"/>
      <c r="S11" s="7"/>
    </row>
    <row r="12" spans="1:26">
      <c r="B12" t="s">
        <v>80</v>
      </c>
      <c r="C12" t="s">
        <v>67</v>
      </c>
      <c r="D12" s="7">
        <v>45933</v>
      </c>
      <c r="E12" t="s">
        <v>66</v>
      </c>
      <c r="F12">
        <v>32</v>
      </c>
      <c r="H12" s="7">
        <f ca="1"/>
        <v>45933</v>
      </c>
      <c r="Q12"/>
      <c r="S12" s="7"/>
    </row>
    <row r="13" spans="1:26">
      <c r="Q13"/>
      <c r="S13" s="7"/>
    </row>
    <row r="14" spans="1:26" ht="15" thickBot="1">
      <c r="A14" s="21"/>
      <c r="B14" s="21"/>
      <c r="C14" s="21"/>
      <c r="D14" s="22"/>
      <c r="E14" s="21"/>
      <c r="F14" s="21"/>
      <c r="G14" s="22"/>
      <c r="H14" s="22"/>
    </row>
    <row r="15" spans="1:26" ht="15" thickTop="1"/>
    <row r="16" spans="1:26">
      <c r="A16" s="14">
        <v>30</v>
      </c>
      <c r="B16" s="12" t="s">
        <v>29</v>
      </c>
      <c r="C16" s="12"/>
      <c r="E16" s="12"/>
    </row>
    <row r="17" spans="1:8">
      <c r="B17" s="12"/>
      <c r="C17" s="12"/>
      <c r="E17" s="12"/>
    </row>
    <row r="18" spans="1:8" ht="15" thickBot="1">
      <c r="A18" s="16" t="s">
        <v>2</v>
      </c>
      <c r="B18" s="15" t="str" cm="1">
        <f t="array" aca="1" ref="B18:H18" ca="1">Order[#Headers]:endright(Order[[#Headers],[Order No]])</f>
        <v>Order No</v>
      </c>
      <c r="C18" s="25" t="str">
        <f ca="1"/>
        <v>What</v>
      </c>
      <c r="D18" s="24" t="str">
        <f ca="1"/>
        <v>When</v>
      </c>
      <c r="E18" s="16" t="str">
        <f ca="1"/>
        <v>Who</v>
      </c>
      <c r="F18" s="20" t="str">
        <f ca="1"/>
        <v>Amount</v>
      </c>
      <c r="G18" s="24" t="str">
        <f ca="1"/>
        <v>Terminated</v>
      </c>
      <c r="H18" s="24" t="str">
        <f ca="1"/>
        <v>Delivery</v>
      </c>
    </row>
    <row r="19" spans="1:8">
      <c r="A19" s="17" cm="1">
        <f t="array" aca="1" ref="A19:H20" ca="1">_xlfn.LET(
_xlpm.deadLineCol,COLUMNS(Order[])+1,
_xlpm.deadLine,_xlfn.CHOOSECOLS(_xlfn.ANCHORARRAY(H4),1),
_xlpm.data,_xlfn._xlws.FILTER(Order[]:_xlfn.ANCHORARRAY(H4),(_xlpm.deadLine&lt;=NOW()+A16)*(_xlpm.deadLine&gt;NOW())*(Order[Terminated]=0)),
_xlpm.output,_xlfn._xlws.SORT(_xlfn.HSTACK(_xlfn.CHOOSECOLS(_xlpm.data,_xlpm.deadLineCol)-TODAY(),_xlpm.data),_xlpm.deadLineCol+1),
_xlpm.output
)</f>
        <v>20</v>
      </c>
      <c r="B19" s="12" t="str">
        <f ca="1"/>
        <v>DFS-4711</v>
      </c>
      <c r="C19" s="12" t="str">
        <f ca="1"/>
        <v>2nd Line Support</v>
      </c>
      <c r="D19" s="7">
        <f ca="1"/>
        <v>45931</v>
      </c>
      <c r="E19" s="12" t="str">
        <f ca="1"/>
        <v>Frontblade</v>
      </c>
      <c r="F19">
        <f ca="1"/>
        <v>6</v>
      </c>
      <c r="G19" s="7">
        <f ca="1"/>
        <v>0</v>
      </c>
      <c r="H19" s="7">
        <f ca="1"/>
        <v>45931</v>
      </c>
    </row>
    <row r="20" spans="1:8">
      <c r="A20">
        <f ca="1"/>
        <v>22</v>
      </c>
      <c r="B20" t="str">
        <f ca="1"/>
        <v>DFS-4716</v>
      </c>
      <c r="C20" t="str">
        <f ca="1"/>
        <v>Competence Upgrade</v>
      </c>
      <c r="D20" s="7">
        <f ca="1"/>
        <v>45933</v>
      </c>
      <c r="E20" t="str">
        <f ca="1"/>
        <v>Frontblade</v>
      </c>
      <c r="F20">
        <f ca="1"/>
        <v>32</v>
      </c>
      <c r="G20" s="7">
        <f ca="1"/>
        <v>0</v>
      </c>
      <c r="H20" s="7">
        <f ca="1"/>
        <v>45933</v>
      </c>
    </row>
    <row r="23" spans="1:8" ht="15" thickBot="1">
      <c r="A23" s="21"/>
      <c r="B23" s="21"/>
      <c r="C23" s="21"/>
      <c r="D23" s="22"/>
      <c r="E23" s="21"/>
      <c r="F23" s="21"/>
      <c r="G23" s="22"/>
      <c r="H23" s="22"/>
    </row>
    <row r="24" spans="1:8" ht="15" thickTop="1"/>
    <row r="25" spans="1:8" ht="15" thickBot="1">
      <c r="A25" s="3" t="b">
        <v>0</v>
      </c>
      <c r="B25" s="15" t="str" cm="1">
        <f t="array" ref="B25:C25">_xlfn.LET(_xlpm.arr,_xlfn.HSTACK(Order[[#Headers],[What]],Order[[#Headers],[Who]]),
     _xlpm.revert,A25,
_xlpm.output,IF(_xlpm.revert,INDEX(_xlpm.arr,,{2,1}),INDEX(_xlpm.arr,,{1,2})),
_xlpm.output
)</f>
        <v>What</v>
      </c>
      <c r="C25" s="25" t="str">
        <v>Who</v>
      </c>
    </row>
    <row r="26" spans="1:8">
      <c r="B26" s="26" t="str" cm="1">
        <f t="array" ref="B26:C30">_xlfn.LET(_xlpm.arr,_xlfn.HSTACK(Order[What],Order[Who]),
     _xlpm.revert,A25,
_xlpm.order,2*_xlpm.revert-1,
_xlpm.row_fields,IF(_xlpm.revert,INDEX(_xlpm.arr,,2),INDEX(_xlpm.arr,,1)),
_xlpm.values,IF(_xlpm.revert,INDEX(_xlpm.arr,,1),INDEX(_xlpm.arr,,2)),
_xlpm.output,_xlfn.GROUPBY(_xlpm.row_fields,_xlpm.values,_xlfn.LAMBDA(_xlpm.v,_xlfn.TEXTJOIN(", ",1,_xlfn.UNIQUE(_xlpm.v))),,0),
_xlpm.output
)</f>
        <v>2nd Line Support</v>
      </c>
      <c r="C26" s="12" t="str">
        <v>Frontblade</v>
      </c>
    </row>
    <row r="27" spans="1:8">
      <c r="B27" t="str">
        <v>Basix and Beyond</v>
      </c>
      <c r="C27" t="str">
        <v>Cytrix, Rupelentor, Frontblade</v>
      </c>
    </row>
    <row r="28" spans="1:8">
      <c r="B28" t="str">
        <v>Competence Upgrade</v>
      </c>
      <c r="C28" t="str">
        <v>ACME Kit, Cytrix, Frontblade</v>
      </c>
    </row>
    <row r="29" spans="1:8">
      <c r="B29" t="str">
        <v>IR Control</v>
      </c>
      <c r="C29" t="str">
        <v>ACME Kit</v>
      </c>
    </row>
    <row r="30" spans="1:8">
      <c r="B30" t="str">
        <v>PowerPage BI</v>
      </c>
      <c r="C30" t="str">
        <v>Frontblade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functions</vt:lpstr>
      <vt:lpstr>Contract</vt:lpstr>
      <vt:lpstr>Order FG</vt:lpstr>
      <vt:lpstr>User</vt:lpstr>
      <vt:lpstr>Cert</vt:lpstr>
      <vt:lpstr>Order DFS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2024-03-05T14:55:44Z</dcterms:created>
  <dcterms:modified xsi:type="dcterms:W3CDTF">2025-09-11T10:59:50Z</dcterms:modified>
</cp:coreProperties>
</file>